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\eo\folder\clarage\My Documents\eBooks\"/>
    </mc:Choice>
  </mc:AlternateContent>
  <xr:revisionPtr revIDLastSave="0" documentId="13_ncr:1_{ED48460E-665A-4D9A-A916-3A79298B0A0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ARLI Owned ProQuest Ebooks " sheetId="1" r:id="rId1"/>
  </sheets>
  <definedNames>
    <definedName name="_xlnm._FilterDatabase" localSheetId="0" hidden="1">'CARLI Owned ProQuest Ebooks '!$A$1:$E$4036</definedName>
    <definedName name="_xlnm.Print_Area" localSheetId="0">'CARLI Owned ProQuest Ebooks '!$A$1:$E$4036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86" i="1" l="1"/>
  <c r="D3540" i="1"/>
  <c r="D1886" i="1"/>
  <c r="D2902" i="1"/>
  <c r="D2432" i="1"/>
  <c r="D1829" i="1"/>
  <c r="D672" i="1"/>
  <c r="D1347" i="1"/>
  <c r="D1435" i="1"/>
  <c r="D820" i="1"/>
  <c r="D3797" i="1"/>
  <c r="D1490" i="1"/>
  <c r="D671" i="1"/>
  <c r="D1502" i="1"/>
  <c r="D238" i="1"/>
  <c r="D1505" i="1"/>
  <c r="D1598" i="1"/>
  <c r="D2467" i="1"/>
  <c r="D3534" i="1"/>
  <c r="D207" i="1"/>
  <c r="D1433" i="1"/>
  <c r="D3762" i="1"/>
  <c r="D3222" i="1"/>
  <c r="D3816" i="1"/>
  <c r="D1551" i="1"/>
  <c r="D1133" i="1"/>
  <c r="D2502" i="1"/>
  <c r="D1489" i="1"/>
  <c r="D25" i="1"/>
  <c r="D1175" i="1"/>
  <c r="D764" i="1"/>
  <c r="D1428" i="1"/>
  <c r="D2857" i="1"/>
  <c r="D3966" i="1"/>
  <c r="D668" i="1"/>
  <c r="D1414" i="1"/>
  <c r="D2424" i="1"/>
  <c r="D2070" i="1"/>
  <c r="D456" i="1"/>
  <c r="D3270" i="1"/>
  <c r="D2938" i="1"/>
  <c r="D3228" i="1"/>
  <c r="D2599" i="1"/>
  <c r="D1580" i="1"/>
  <c r="D3336" i="1"/>
  <c r="D1410" i="1"/>
  <c r="D544" i="1"/>
  <c r="D1949" i="1"/>
  <c r="D3374" i="1"/>
  <c r="D3697" i="1"/>
  <c r="D242" i="1"/>
  <c r="D1474" i="1"/>
  <c r="D2308" i="1"/>
  <c r="D3735" i="1"/>
  <c r="D2950" i="1"/>
  <c r="D2272" i="1"/>
  <c r="D1980" i="1"/>
  <c r="D1974" i="1"/>
  <c r="D2913" i="1"/>
  <c r="D2949" i="1"/>
  <c r="D3010" i="1"/>
  <c r="D341" i="1"/>
  <c r="D702" i="1"/>
  <c r="D564" i="1"/>
  <c r="D1535" i="1"/>
  <c r="D9" i="1"/>
  <c r="D2304" i="1"/>
  <c r="D426" i="1"/>
  <c r="D329" i="1"/>
  <c r="D2054" i="1"/>
  <c r="D958" i="1"/>
  <c r="D1515" i="1"/>
  <c r="D2019" i="1"/>
  <c r="D3930" i="1"/>
  <c r="D2134" i="1"/>
  <c r="D2191" i="1"/>
  <c r="D873" i="1"/>
  <c r="D3599" i="1"/>
  <c r="D67" i="1"/>
  <c r="D336" i="1"/>
  <c r="D1726" i="1"/>
  <c r="D1705" i="1"/>
  <c r="D872" i="1"/>
  <c r="D3048" i="1"/>
  <c r="D152" i="1"/>
  <c r="D952" i="1"/>
  <c r="D1156" i="1"/>
  <c r="D2074" i="1"/>
  <c r="D2738" i="1"/>
  <c r="D887" i="1"/>
  <c r="D339" i="1"/>
  <c r="D1568" i="1"/>
  <c r="D217" i="1"/>
  <c r="D1180" i="1"/>
  <c r="D1693" i="1"/>
  <c r="D3402" i="1"/>
  <c r="D1687" i="1"/>
  <c r="D610" i="1"/>
  <c r="D2523" i="1"/>
  <c r="D1661" i="1"/>
  <c r="D1118" i="1"/>
  <c r="D2084" i="1"/>
  <c r="D836" i="1"/>
  <c r="D3518" i="1"/>
  <c r="D3582" i="1"/>
  <c r="D1686" i="1"/>
  <c r="D147" i="1"/>
  <c r="D1654" i="1"/>
  <c r="D1000" i="1"/>
  <c r="D3274" i="1"/>
  <c r="D3356" i="1"/>
  <c r="D2589" i="1"/>
  <c r="D3803" i="1"/>
  <c r="D1060" i="1"/>
  <c r="D66" i="1"/>
  <c r="D604" i="1"/>
  <c r="D2940" i="1"/>
  <c r="D613" i="1"/>
  <c r="D1481" i="1"/>
  <c r="D3729" i="1"/>
  <c r="D584" i="1"/>
  <c r="D1140" i="1"/>
  <c r="D3478" i="1"/>
  <c r="D2901" i="1"/>
  <c r="D3159" i="1"/>
  <c r="D1681" i="1"/>
  <c r="D121" i="1"/>
  <c r="D1783" i="1"/>
  <c r="D2082" i="1"/>
  <c r="D3177" i="1"/>
  <c r="D1257" i="1"/>
  <c r="D936" i="1"/>
  <c r="D1068" i="1"/>
  <c r="D536" i="1"/>
  <c r="D1498" i="1"/>
  <c r="D3678" i="1"/>
  <c r="D540" i="1"/>
  <c r="D3106" i="1"/>
  <c r="D3101" i="1"/>
  <c r="D2255" i="1"/>
  <c r="D3198" i="1"/>
  <c r="D1761" i="1"/>
  <c r="D3330" i="1"/>
  <c r="D266" i="1"/>
  <c r="D2447" i="1"/>
  <c r="D137" i="1"/>
  <c r="D1251" i="1"/>
  <c r="D1270" i="1"/>
  <c r="D2479" i="1"/>
  <c r="D3809" i="1"/>
  <c r="D1148" i="1"/>
  <c r="D1146" i="1"/>
  <c r="D950" i="1"/>
  <c r="D3578" i="1"/>
  <c r="D3211" i="1"/>
  <c r="D2971" i="1"/>
  <c r="D2994" i="1"/>
  <c r="D1925" i="1"/>
  <c r="D2884" i="1"/>
  <c r="D3445" i="1"/>
  <c r="D2706" i="1"/>
  <c r="D3945" i="1"/>
  <c r="D259" i="1"/>
  <c r="D237" i="1"/>
  <c r="D81" i="1"/>
  <c r="D897" i="1"/>
  <c r="D842" i="1"/>
  <c r="D3787" i="1"/>
  <c r="D530" i="1"/>
  <c r="D2311" i="1"/>
  <c r="D2601" i="1"/>
  <c r="D3815" i="1"/>
  <c r="D1532" i="1"/>
  <c r="D3449" i="1"/>
  <c r="D3335" i="1"/>
  <c r="D1017" i="1"/>
  <c r="D140" i="1"/>
  <c r="D478" i="1"/>
  <c r="D3043" i="1"/>
  <c r="D1763" i="1"/>
  <c r="D541" i="1"/>
  <c r="D2357" i="1"/>
  <c r="D3833" i="1"/>
  <c r="D2956" i="1"/>
  <c r="D2004" i="1"/>
  <c r="D3832" i="1"/>
  <c r="D1513" i="1"/>
  <c r="D1002" i="1"/>
  <c r="D2281" i="1"/>
  <c r="D2953" i="1"/>
  <c r="D2136" i="1"/>
  <c r="D1367" i="1"/>
  <c r="D1569" i="1"/>
  <c r="D2013" i="1"/>
  <c r="D3733" i="1"/>
  <c r="D2309" i="1"/>
  <c r="D3407" i="1"/>
  <c r="D2583" i="1"/>
  <c r="D458" i="1"/>
  <c r="D2510" i="1"/>
  <c r="D2509" i="1"/>
  <c r="D14" i="1"/>
  <c r="D22" i="1"/>
  <c r="D2303" i="1"/>
  <c r="D2659" i="1"/>
  <c r="D2501" i="1"/>
  <c r="D614" i="1"/>
  <c r="D1672" i="1"/>
  <c r="D1715" i="1"/>
  <c r="D705" i="1"/>
  <c r="D3736" i="1"/>
  <c r="D3802" i="1"/>
  <c r="D938" i="1"/>
  <c r="D608" i="1"/>
  <c r="D3918" i="1"/>
  <c r="D1600" i="1"/>
  <c r="D4012" i="1"/>
  <c r="D824" i="1"/>
  <c r="D489" i="1"/>
  <c r="D789" i="1"/>
  <c r="D308" i="1"/>
  <c r="D3910" i="1"/>
  <c r="D666" i="1"/>
  <c r="D1606" i="1"/>
  <c r="D3716" i="1"/>
  <c r="D429" i="1"/>
  <c r="D2170" i="1"/>
  <c r="D3290" i="1"/>
  <c r="D2367" i="1"/>
  <c r="D3144" i="1"/>
  <c r="D1194" i="1"/>
  <c r="D1790" i="1"/>
  <c r="D572" i="1"/>
  <c r="D1965" i="1"/>
  <c r="D134" i="1"/>
  <c r="D83" i="1"/>
  <c r="D54" i="1"/>
  <c r="D2696" i="1"/>
  <c r="D2734" i="1"/>
  <c r="D555" i="1"/>
  <c r="D2087" i="1"/>
  <c r="D2905" i="1"/>
  <c r="D980" i="1"/>
  <c r="D3114" i="1"/>
  <c r="D289" i="1"/>
  <c r="D3768" i="1"/>
  <c r="D937" i="1"/>
  <c r="D2616" i="1"/>
  <c r="D1585" i="1"/>
  <c r="D1685" i="1"/>
  <c r="D1079" i="1"/>
  <c r="D2058" i="1"/>
  <c r="D874" i="1"/>
  <c r="D1273" i="1"/>
  <c r="D2410" i="1"/>
  <c r="D1476" i="1"/>
  <c r="D32" i="1"/>
  <c r="D136" i="1"/>
  <c r="D2246" i="1"/>
  <c r="D603" i="1"/>
  <c r="D273" i="1"/>
  <c r="D400" i="1"/>
  <c r="D2585" i="1"/>
  <c r="D3226" i="1"/>
  <c r="D753" i="1"/>
  <c r="D615" i="1"/>
  <c r="D975" i="1"/>
  <c r="D1145" i="1"/>
  <c r="D3596" i="1"/>
  <c r="D930" i="1"/>
  <c r="D2647" i="1"/>
  <c r="D142" i="1"/>
  <c r="D2503" i="1"/>
  <c r="D1873" i="1"/>
  <c r="D1472" i="1"/>
  <c r="D3018" i="1"/>
  <c r="D3726" i="1"/>
  <c r="D557" i="1"/>
  <c r="D1717" i="1"/>
  <c r="D1059" i="1"/>
  <c r="D1094" i="1"/>
  <c r="D4005" i="1"/>
  <c r="D3296" i="1"/>
  <c r="D2686" i="1"/>
  <c r="D1117" i="1"/>
  <c r="D993" i="1"/>
  <c r="D1452" i="1"/>
  <c r="D335" i="1"/>
  <c r="D2401" i="1"/>
  <c r="D2361" i="1"/>
  <c r="D312" i="1"/>
  <c r="D1269" i="1"/>
  <c r="D3872" i="1"/>
  <c r="D3939" i="1"/>
  <c r="D271" i="1"/>
  <c r="D3572" i="1"/>
  <c r="D344" i="1"/>
  <c r="D1047" i="1"/>
  <c r="D2317" i="1"/>
  <c r="D3258" i="1"/>
  <c r="D61" i="1"/>
  <c r="D2497" i="1"/>
  <c r="D527" i="1"/>
  <c r="D1861" i="1"/>
  <c r="D3567" i="1"/>
  <c r="D2640" i="1"/>
  <c r="D2229" i="1"/>
  <c r="D1465" i="1"/>
  <c r="D855" i="1"/>
  <c r="D299" i="1"/>
  <c r="D3577" i="1"/>
  <c r="D2163" i="1"/>
  <c r="D619" i="1"/>
  <c r="D1970" i="1"/>
  <c r="D2989" i="1"/>
  <c r="D2485" i="1"/>
  <c r="D1990" i="1"/>
  <c r="D2270" i="1"/>
  <c r="D2936" i="1"/>
  <c r="D2935" i="1"/>
  <c r="D1607" i="1"/>
  <c r="D1468" i="1"/>
  <c r="D1704" i="1"/>
  <c r="D3254" i="1"/>
  <c r="D1204" i="1"/>
  <c r="D1650" i="1"/>
  <c r="D2014" i="1"/>
  <c r="D3061" i="1"/>
  <c r="D230" i="1"/>
  <c r="D3997" i="1"/>
  <c r="D1937" i="1"/>
  <c r="D125" i="1"/>
  <c r="D2061" i="1"/>
  <c r="D199" i="1"/>
  <c r="D1511" i="1"/>
  <c r="D3333" i="1"/>
  <c r="D3386" i="1"/>
  <c r="D2426" i="1"/>
  <c r="D3623" i="1"/>
  <c r="D2634" i="1"/>
  <c r="D2285" i="1"/>
  <c r="D1804" i="1"/>
  <c r="D310" i="1"/>
  <c r="D1574" i="1"/>
  <c r="D1537" i="1"/>
  <c r="D1279" i="1"/>
  <c r="D208" i="1"/>
  <c r="D2796" i="1"/>
  <c r="D1664" i="1"/>
  <c r="D3953" i="1"/>
  <c r="D3476" i="1"/>
  <c r="D1395" i="1"/>
  <c r="D981" i="1"/>
  <c r="D1549" i="1"/>
  <c r="D459" i="1"/>
  <c r="D2457" i="1"/>
  <c r="D3482" i="1"/>
  <c r="D1471" i="1"/>
  <c r="D1404" i="1"/>
  <c r="D3342" i="1"/>
  <c r="D3309" i="1"/>
  <c r="D1071" i="1"/>
  <c r="D279" i="1"/>
  <c r="D275" i="1"/>
  <c r="D3064" i="1"/>
  <c r="D1758" i="1"/>
  <c r="D369" i="1"/>
  <c r="D3543" i="1"/>
  <c r="D933" i="1"/>
  <c r="D272" i="1"/>
  <c r="D254" i="1"/>
  <c r="D297" i="1"/>
  <c r="D2824" i="1"/>
  <c r="D3327" i="1"/>
  <c r="D41" i="1"/>
  <c r="D2231" i="1"/>
  <c r="D944" i="1"/>
  <c r="D3627" i="1"/>
  <c r="D2491" i="1"/>
  <c r="D28" i="1"/>
  <c r="D727" i="1"/>
  <c r="D162" i="1"/>
  <c r="D593" i="1"/>
  <c r="D4011" i="1"/>
  <c r="D2912" i="1"/>
  <c r="D3240" i="1"/>
  <c r="D2463" i="1"/>
  <c r="D1525" i="1"/>
  <c r="D1009" i="1"/>
  <c r="D3586" i="1"/>
  <c r="D1866" i="1"/>
  <c r="D423" i="1"/>
  <c r="D3157" i="1"/>
  <c r="D2550" i="1"/>
  <c r="D2069" i="1"/>
  <c r="D3027" i="1"/>
  <c r="D2630" i="1"/>
  <c r="D2294" i="1"/>
  <c r="D1399" i="1"/>
  <c r="D57" i="1"/>
  <c r="D3708" i="1"/>
  <c r="D1309" i="1"/>
  <c r="D2202" i="1"/>
  <c r="D580" i="1"/>
  <c r="D1152" i="1"/>
  <c r="D862" i="1"/>
  <c r="D105" i="1"/>
  <c r="D1824" i="1"/>
  <c r="D1567" i="1"/>
  <c r="D2291" i="1"/>
  <c r="D388" i="1"/>
  <c r="D632" i="1"/>
  <c r="D1461" i="1"/>
  <c r="D1572" i="1"/>
  <c r="D1807" i="1"/>
  <c r="D1021" i="1"/>
  <c r="D3519" i="1"/>
  <c r="D58" i="1"/>
  <c r="D1587" i="1"/>
  <c r="D2464" i="1"/>
  <c r="D926" i="1"/>
  <c r="D4013" i="1"/>
  <c r="D3367" i="1"/>
  <c r="D428" i="1"/>
  <c r="D1744" i="1"/>
  <c r="D3176" i="1"/>
  <c r="D3082" i="1"/>
  <c r="D2674" i="1"/>
  <c r="D2965" i="1"/>
  <c r="D2138" i="1"/>
  <c r="D282" i="1"/>
  <c r="D3731" i="1"/>
  <c r="D3427" i="1"/>
  <c r="D3366" i="1"/>
  <c r="D2988" i="1"/>
  <c r="D725" i="1"/>
  <c r="D2288" i="1"/>
  <c r="D1586" i="1"/>
  <c r="D2656" i="1"/>
  <c r="D3698" i="1"/>
  <c r="D2450" i="1"/>
  <c r="D992" i="1"/>
  <c r="D1923" i="1"/>
  <c r="D2149" i="1"/>
  <c r="D2483" i="1"/>
  <c r="D3248" i="1"/>
  <c r="D814" i="1"/>
  <c r="D3015" i="1"/>
  <c r="D1262" i="1"/>
  <c r="D1550" i="1"/>
  <c r="D772" i="1"/>
  <c r="D2094" i="1"/>
  <c r="D1179" i="1"/>
  <c r="D728" i="1"/>
  <c r="D3175" i="1"/>
  <c r="D3896" i="1"/>
  <c r="D3186" i="1"/>
  <c r="D3561" i="1"/>
  <c r="D2413" i="1"/>
  <c r="D542" i="1"/>
  <c r="D3895" i="1"/>
  <c r="D2139" i="1"/>
  <c r="D1597" i="1"/>
  <c r="D2787" i="1"/>
  <c r="D3107" i="1"/>
  <c r="D141" i="1"/>
  <c r="D2581" i="1"/>
  <c r="D2276" i="1"/>
  <c r="D3331" i="1"/>
  <c r="D2234" i="1"/>
  <c r="D2885" i="1"/>
  <c r="D3130" i="1"/>
  <c r="D3904" i="1"/>
  <c r="D2052" i="1"/>
  <c r="D611" i="1"/>
  <c r="D1026" i="1"/>
  <c r="D113" i="1"/>
  <c r="D3914" i="1"/>
  <c r="D1618" i="1"/>
  <c r="D2968" i="1"/>
  <c r="D1221" i="1"/>
  <c r="D3799" i="1"/>
  <c r="D3370" i="1"/>
  <c r="D462" i="1"/>
  <c r="D1614" i="1"/>
  <c r="D2829" i="1"/>
  <c r="D2682" i="1"/>
  <c r="D835" i="1"/>
  <c r="D2041" i="1"/>
  <c r="D3442" i="1"/>
  <c r="D1942" i="1"/>
  <c r="D2143" i="1"/>
  <c r="D1113" i="1"/>
  <c r="D565" i="1"/>
  <c r="D883" i="1"/>
  <c r="D1679" i="1"/>
  <c r="D669" i="1"/>
  <c r="D214" i="1"/>
  <c r="D2952" i="1"/>
  <c r="D1516" i="1"/>
  <c r="D3500" i="1"/>
  <c r="D3667" i="1"/>
  <c r="D3311" i="1"/>
  <c r="D2993" i="1"/>
  <c r="D3798" i="1"/>
  <c r="D1127" i="1"/>
  <c r="D2223" i="1"/>
  <c r="D673" i="1"/>
  <c r="D3139" i="1"/>
  <c r="D483" i="1"/>
  <c r="D2482" i="1"/>
  <c r="D2415" i="1"/>
  <c r="D3760" i="1"/>
  <c r="D3046" i="1"/>
  <c r="D3057" i="1"/>
  <c r="D2520" i="1"/>
  <c r="D3351" i="1"/>
  <c r="D315" i="1"/>
  <c r="D1282" i="1"/>
  <c r="D3313" i="1"/>
  <c r="D1379" i="1"/>
  <c r="D2315" i="1"/>
  <c r="D1666" i="1"/>
  <c r="D1552" i="1"/>
  <c r="D1713" i="1"/>
  <c r="D1934" i="1"/>
  <c r="D3121" i="1"/>
  <c r="D2148" i="1"/>
  <c r="D573" i="1"/>
  <c r="D3195" i="1"/>
  <c r="D3894" i="1"/>
  <c r="D3167" i="1"/>
  <c r="D2685" i="1"/>
  <c r="D151" i="1"/>
  <c r="D2431" i="1"/>
  <c r="D33" i="1"/>
  <c r="D3792" i="1"/>
  <c r="D3825" i="1"/>
  <c r="D3805" i="1"/>
  <c r="D2353" i="1"/>
  <c r="D303" i="1"/>
  <c r="D3080" i="1"/>
  <c r="D2077" i="1"/>
  <c r="D118" i="1"/>
  <c r="D3687" i="1"/>
  <c r="D1070" i="1"/>
  <c r="D3347" i="1"/>
  <c r="D2190" i="1"/>
  <c r="D1301" i="1"/>
  <c r="D1802" i="1"/>
  <c r="D3315" i="1"/>
  <c r="D2892" i="1"/>
  <c r="D3820" i="1"/>
  <c r="D1069" i="1"/>
  <c r="D1776" i="1"/>
  <c r="D2835" i="1"/>
  <c r="D713" i="1"/>
  <c r="D1867" i="1"/>
  <c r="D726" i="1"/>
  <c r="D1132" i="1"/>
  <c r="D776" i="1"/>
  <c r="D2744" i="1"/>
  <c r="D3384" i="1"/>
  <c r="D3750" i="1"/>
  <c r="D1536" i="1"/>
  <c r="D2565" i="1"/>
  <c r="D3597" i="1"/>
  <c r="D3516" i="1"/>
  <c r="D823" i="1"/>
  <c r="D1542" i="1"/>
  <c r="D2827" i="1"/>
  <c r="D2420" i="1"/>
  <c r="D2007" i="1"/>
  <c r="D56" i="1"/>
  <c r="D2590" i="1"/>
  <c r="D2147" i="1"/>
  <c r="D852" i="1"/>
  <c r="D2930" i="1"/>
  <c r="D1845" i="1"/>
  <c r="D2122" i="1"/>
  <c r="D506" i="1"/>
  <c r="D3720" i="1"/>
  <c r="D2425" i="1"/>
  <c r="D3484" i="1"/>
  <c r="D1138" i="1"/>
  <c r="D3492" i="1"/>
  <c r="D2970" i="1"/>
  <c r="D2961" i="1"/>
  <c r="D2121" i="1"/>
  <c r="D3608" i="1"/>
  <c r="D746" i="1"/>
  <c r="D1667" i="1"/>
  <c r="D1098" i="1"/>
  <c r="D871" i="1"/>
  <c r="D3213" i="1"/>
  <c r="D2679" i="1"/>
  <c r="D340" i="1"/>
  <c r="D3718" i="1"/>
  <c r="D2056" i="1"/>
  <c r="D1701" i="1"/>
  <c r="D3884" i="1"/>
  <c r="D2919" i="1"/>
  <c r="D392" i="1"/>
  <c r="D3952" i="1"/>
  <c r="D2920" i="1"/>
  <c r="D971" i="1"/>
  <c r="D3316" i="1"/>
  <c r="D1588" i="1"/>
  <c r="D1441" i="1"/>
  <c r="D4006" i="1"/>
  <c r="D304" i="1"/>
  <c r="D1697" i="1"/>
  <c r="D3683" i="1"/>
  <c r="D3001" i="1"/>
  <c r="D918" i="1"/>
  <c r="D3417" i="1"/>
  <c r="D2737" i="1"/>
  <c r="D1033" i="1"/>
  <c r="D159" i="1"/>
  <c r="D644" i="1"/>
  <c r="D3991" i="1"/>
  <c r="D1615" i="1"/>
  <c r="D1789" i="1"/>
  <c r="D546" i="1"/>
  <c r="D528" i="1"/>
  <c r="D2062" i="1"/>
  <c r="D1076" i="1"/>
  <c r="D2653" i="1"/>
  <c r="D1769" i="1"/>
  <c r="D2222" i="1"/>
  <c r="D2438" i="1"/>
  <c r="D274" i="1"/>
  <c r="D2976" i="1"/>
  <c r="D2037" i="1"/>
  <c r="D1975" i="1"/>
  <c r="D3986" i="1"/>
  <c r="D3352" i="1"/>
  <c r="D255" i="1"/>
  <c r="D535" i="1"/>
  <c r="D3650" i="1"/>
  <c r="D2400" i="1"/>
  <c r="D1136" i="1"/>
  <c r="D123" i="1"/>
  <c r="D1436" i="1"/>
  <c r="D3131" i="1"/>
  <c r="D3980" i="1"/>
  <c r="D1299" i="1"/>
  <c r="D3204" i="1"/>
  <c r="D3795" i="1"/>
  <c r="D2743" i="1"/>
  <c r="D3857" i="1"/>
  <c r="D24" i="1"/>
  <c r="D2274" i="1"/>
  <c r="D3931" i="1"/>
  <c r="D2227" i="1"/>
  <c r="D2990" i="1"/>
  <c r="D213" i="1"/>
  <c r="D2731" i="1"/>
  <c r="D2875" i="1"/>
  <c r="D243" i="1"/>
  <c r="D2926" i="1"/>
  <c r="D1792" i="1"/>
  <c r="D1037" i="1"/>
  <c r="D1754" i="1"/>
  <c r="D3128" i="1"/>
  <c r="D3206" i="1"/>
  <c r="D34" i="1"/>
  <c r="D3205" i="1"/>
  <c r="D1757" i="1"/>
  <c r="D2982" i="1"/>
  <c r="D3860" i="1"/>
  <c r="D2299" i="1"/>
  <c r="D128" i="1"/>
  <c r="D3430" i="1"/>
  <c r="D1494" i="1"/>
  <c r="D1192" i="1"/>
  <c r="D2171" i="1"/>
  <c r="D68" i="1"/>
  <c r="D3591" i="1"/>
  <c r="D2788" i="1"/>
  <c r="D1198" i="1"/>
  <c r="D2525" i="1"/>
  <c r="D2834" i="1"/>
  <c r="D912" i="1"/>
  <c r="D1281" i="1"/>
  <c r="D3145" i="1"/>
  <c r="D2125" i="1"/>
  <c r="D1479" i="1"/>
  <c r="D2127" i="1"/>
  <c r="D801" i="1"/>
  <c r="D2627" i="1"/>
  <c r="D2774" i="1"/>
  <c r="D64" i="1"/>
  <c r="D1946" i="1"/>
  <c r="D2067" i="1"/>
  <c r="D2668" i="1"/>
  <c r="D2721" i="1"/>
  <c r="D2713" i="1"/>
  <c r="D3651" i="1"/>
  <c r="D2417" i="1"/>
  <c r="D157" i="1"/>
  <c r="D2241" i="1"/>
  <c r="D1499" i="1"/>
  <c r="D220" i="1"/>
  <c r="D2898" i="1"/>
  <c r="D3663" i="1"/>
  <c r="D1265" i="1"/>
  <c r="D3560" i="1"/>
  <c r="D18" i="1"/>
  <c r="D116" i="1"/>
  <c r="D2841" i="1"/>
  <c r="D3202" i="1"/>
  <c r="D2863" i="1"/>
  <c r="D905" i="1"/>
  <c r="D589" i="1"/>
  <c r="D3112" i="1"/>
  <c r="D3030" i="1"/>
  <c r="D3800" i="1"/>
  <c r="D1020" i="1"/>
  <c r="D2760" i="1"/>
  <c r="D1007" i="1"/>
  <c r="D3308" i="1"/>
  <c r="D3819" i="1"/>
  <c r="D345" i="1"/>
  <c r="D2765" i="1"/>
  <c r="D3775" i="1"/>
  <c r="D138" i="1"/>
  <c r="D2277" i="1"/>
  <c r="D3507" i="1"/>
  <c r="D1694" i="1"/>
  <c r="D3325" i="1"/>
  <c r="D1931" i="1"/>
  <c r="D2027" i="1"/>
  <c r="D1805" i="1"/>
  <c r="D1908" i="1"/>
  <c r="D2615" i="1"/>
  <c r="D314" i="1"/>
  <c r="D3670" i="1"/>
  <c r="D2804" i="1"/>
  <c r="D1219" i="1"/>
  <c r="D170" i="1"/>
  <c r="D3839" i="1"/>
  <c r="D2487" i="1"/>
  <c r="D2005" i="1"/>
  <c r="D3319" i="1"/>
  <c r="D1229" i="1"/>
  <c r="D505" i="1"/>
  <c r="D3252" i="1"/>
  <c r="D2368" i="1"/>
  <c r="D1044" i="1"/>
  <c r="D548" i="1"/>
  <c r="D372" i="1"/>
  <c r="D485" i="1"/>
  <c r="D1228" i="1"/>
  <c r="D3569" i="1"/>
  <c r="D1853" i="1"/>
  <c r="D696" i="1"/>
  <c r="D2858" i="1"/>
  <c r="D454" i="1"/>
  <c r="D949" i="1"/>
  <c r="D3773" i="1"/>
  <c r="D2513" i="1"/>
  <c r="D1714" i="1"/>
  <c r="D1212" i="1"/>
  <c r="D4004" i="1"/>
  <c r="D2475" i="1"/>
  <c r="D2637" i="1"/>
  <c r="D3738" i="1"/>
  <c r="D319" i="1"/>
  <c r="D2484" i="1"/>
  <c r="D895" i="1"/>
  <c r="D163" i="1"/>
  <c r="D377" i="1"/>
  <c r="D719" i="1"/>
  <c r="D3796" i="1"/>
  <c r="D2449" i="1"/>
  <c r="D3583" i="1"/>
  <c r="D3017" i="1"/>
  <c r="D3589" i="1"/>
  <c r="D1211" i="1"/>
  <c r="D532" i="1"/>
  <c r="D3804" i="1"/>
  <c r="D3168" i="1"/>
  <c r="D685" i="1"/>
  <c r="D3835" i="1"/>
  <c r="D3438" i="1"/>
  <c r="D398" i="1"/>
  <c r="D3898" i="1"/>
  <c r="D1342" i="1"/>
  <c r="D1210" i="1"/>
  <c r="D1520" i="1"/>
  <c r="D3433" i="1"/>
  <c r="D1671" i="1"/>
  <c r="D1604" i="1"/>
  <c r="D670" i="1"/>
  <c r="D690" i="1"/>
  <c r="D1469" i="1"/>
  <c r="D3638" i="1"/>
  <c r="D3135" i="1"/>
  <c r="D1912" i="1"/>
  <c r="D2240" i="1"/>
  <c r="D2131" i="1"/>
  <c r="D1893" i="1"/>
  <c r="D3606" i="1"/>
  <c r="D2372" i="1"/>
  <c r="D991" i="1"/>
  <c r="D3741" i="1"/>
  <c r="D2973" i="1"/>
  <c r="D2039" i="1"/>
  <c r="D1046" i="1"/>
  <c r="D1920" i="1"/>
  <c r="D2196" i="1"/>
  <c r="D167" i="1"/>
  <c r="D790" i="1"/>
  <c r="D757" i="1"/>
  <c r="D2842" i="1"/>
  <c r="D1700" i="1"/>
  <c r="D71" i="1"/>
  <c r="D4018" i="1"/>
  <c r="D2302" i="1"/>
  <c r="D231" i="1"/>
  <c r="D3140" i="1"/>
  <c r="D1384" i="1"/>
  <c r="D3684" i="1"/>
  <c r="D1178" i="1"/>
  <c r="D2636" i="1"/>
  <c r="D3143" i="1"/>
  <c r="D2742" i="1"/>
  <c r="D3584" i="1"/>
  <c r="D1795" i="1"/>
  <c r="D618" i="1"/>
  <c r="D1627" i="1"/>
  <c r="D2116" i="1"/>
  <c r="D2909" i="1"/>
  <c r="D1266" i="1"/>
  <c r="D149" i="1"/>
  <c r="D1205" i="1"/>
  <c r="D2385" i="1"/>
  <c r="D3072" i="1"/>
  <c r="D2323" i="1"/>
  <c r="D809" i="1"/>
  <c r="D1102" i="1"/>
  <c r="D1181" i="1"/>
  <c r="D2895" i="1"/>
  <c r="D1696" i="1"/>
  <c r="D972" i="1"/>
  <c r="D676" i="1"/>
  <c r="D3192" i="1"/>
  <c r="D2836" i="1"/>
  <c r="D3246" i="1"/>
  <c r="D817" i="1"/>
  <c r="D2436" i="1"/>
  <c r="D1131" i="1"/>
  <c r="D3636" i="1"/>
  <c r="D1223" i="1"/>
  <c r="D2620" i="1"/>
  <c r="D510" i="1"/>
  <c r="D108" i="1"/>
  <c r="D2034" i="1"/>
  <c r="D386" i="1"/>
  <c r="D2461" i="1"/>
  <c r="D3394" i="1"/>
  <c r="D3789" i="1"/>
  <c r="D800" i="1"/>
  <c r="D3237" i="1"/>
  <c r="D3829" i="1"/>
  <c r="D2661" i="1"/>
  <c r="D1540" i="1"/>
  <c r="D1611" i="1"/>
  <c r="D1643" i="1"/>
  <c r="D3788" i="1"/>
  <c r="D537" i="1"/>
  <c r="D722" i="1"/>
  <c r="D1941" i="1"/>
  <c r="D1739" i="1"/>
  <c r="D3523" i="1"/>
  <c r="D1482" i="1"/>
  <c r="D391" i="1"/>
  <c r="D2526" i="1"/>
  <c r="D2561" i="1"/>
  <c r="D1275" i="1"/>
  <c r="D322" i="1"/>
  <c r="D2213" i="1"/>
  <c r="D2280" i="1"/>
  <c r="D2532" i="1"/>
  <c r="D3988" i="1"/>
  <c r="D695" i="1"/>
  <c r="D2923" i="1"/>
  <c r="D2657" i="1"/>
  <c r="D1876" i="1"/>
  <c r="D200" i="1"/>
  <c r="D699" i="1"/>
  <c r="D1086" i="1"/>
  <c r="D309" i="1"/>
  <c r="D1332" i="1"/>
  <c r="D1213" i="1"/>
  <c r="D2268" i="1"/>
  <c r="D3088" i="1"/>
  <c r="D403" i="1"/>
  <c r="D2203" i="1"/>
  <c r="D477" i="1"/>
  <c r="D2355" i="1"/>
  <c r="D2559" i="1"/>
  <c r="D1271" i="1"/>
  <c r="D1636" i="1"/>
  <c r="D2542" i="1"/>
  <c r="D3978" i="1"/>
  <c r="D752" i="1"/>
  <c r="D3715" i="1"/>
  <c r="D3288" i="1"/>
  <c r="D3830" i="1"/>
  <c r="D703" i="1"/>
  <c r="D759" i="1"/>
  <c r="D2219" i="1"/>
  <c r="D2022" i="1"/>
  <c r="D570" i="1"/>
  <c r="D2918" i="1"/>
  <c r="D2768" i="1"/>
  <c r="D1151" i="1"/>
  <c r="D1368" i="1"/>
  <c r="D3571" i="1"/>
  <c r="D569" i="1"/>
  <c r="D218" i="1"/>
  <c r="D3307" i="1"/>
  <c r="D106" i="1"/>
  <c r="D2444" i="1"/>
  <c r="D1978" i="1"/>
  <c r="D1421" i="1"/>
  <c r="D1724" i="1"/>
  <c r="D1906" i="1"/>
  <c r="D3317" i="1"/>
  <c r="D1388" i="1"/>
  <c r="D3156" i="1"/>
  <c r="D3646" i="1"/>
  <c r="D301" i="1"/>
  <c r="D3358" i="1"/>
  <c r="D1991" i="1"/>
  <c r="D3753" i="1"/>
  <c r="D967" i="1"/>
  <c r="D3867" i="1"/>
  <c r="D62" i="1"/>
  <c r="D3109" i="1"/>
  <c r="D3340" i="1"/>
  <c r="D1888" i="1"/>
  <c r="D2701" i="1"/>
  <c r="D3334" i="1"/>
  <c r="D2174" i="1"/>
  <c r="D3702" i="1"/>
  <c r="D549" i="1"/>
  <c r="D2777" i="1"/>
  <c r="D101" i="1"/>
  <c r="D773" i="1"/>
  <c r="D2518" i="1"/>
  <c r="D2458" i="1"/>
  <c r="D2933" i="1"/>
  <c r="D3146" i="1"/>
  <c r="D3440" i="1"/>
  <c r="D1440" i="1"/>
  <c r="D1457" i="1"/>
  <c r="D1831" i="1"/>
  <c r="D1882" i="1"/>
  <c r="D130" i="1"/>
  <c r="D2040" i="1"/>
  <c r="D787" i="1"/>
  <c r="D1859" i="1"/>
  <c r="D2538" i="1"/>
  <c r="D1584" i="1"/>
  <c r="D561" i="1"/>
  <c r="D1208" i="1"/>
  <c r="D1985" i="1"/>
  <c r="D961" i="1"/>
  <c r="D233" i="1"/>
  <c r="D3181" i="1"/>
  <c r="D70" i="1"/>
  <c r="D2688" i="1"/>
  <c r="D1659" i="1"/>
  <c r="D481" i="1"/>
  <c r="D500" i="1"/>
  <c r="D1917" i="1"/>
  <c r="D3655" i="1"/>
  <c r="D1087" i="1"/>
  <c r="D828" i="1"/>
  <c r="D2466" i="1"/>
  <c r="D2078" i="1"/>
  <c r="D621" i="1"/>
  <c r="D3399" i="1"/>
  <c r="D999" i="1"/>
  <c r="D3155" i="1"/>
  <c r="D3863" i="1"/>
  <c r="D409" i="1"/>
  <c r="D3580" i="1"/>
  <c r="D3897" i="1"/>
  <c r="D2648" i="1"/>
  <c r="D2178" i="1"/>
  <c r="D1492" i="1"/>
  <c r="D3734" i="1"/>
  <c r="D2588" i="1"/>
  <c r="D1422" i="1"/>
  <c r="D866" i="1"/>
  <c r="D2235" i="1"/>
  <c r="D439" i="1"/>
  <c r="D737" i="1"/>
  <c r="D2187" i="1"/>
  <c r="D2514" i="1"/>
  <c r="D2998" i="1"/>
  <c r="D559" i="1"/>
  <c r="D21" i="1"/>
  <c r="D1161" i="1"/>
  <c r="D1400" i="1"/>
  <c r="D1411" i="1"/>
  <c r="D2831" i="1"/>
  <c r="D3105" i="1"/>
  <c r="D1237" i="1"/>
  <c r="D1287" i="1"/>
  <c r="D2359" i="1"/>
  <c r="D989" i="1"/>
  <c r="D3827" i="1"/>
  <c r="D1444" i="1"/>
  <c r="D1997" i="1"/>
  <c r="D691" i="1"/>
  <c r="D2732" i="1"/>
  <c r="D1541" i="1"/>
  <c r="D3632" i="1"/>
  <c r="D517" i="1"/>
  <c r="D3378" i="1"/>
  <c r="D291" i="1"/>
  <c r="D1373" i="1"/>
  <c r="D1449" i="1"/>
  <c r="D2658" i="1"/>
  <c r="D1073" i="1"/>
  <c r="D3312" i="1"/>
  <c r="D487" i="1"/>
  <c r="D2900" i="1"/>
  <c r="D2877" i="1"/>
  <c r="D3871" i="1"/>
  <c r="D323" i="1"/>
  <c r="D3452" i="1"/>
  <c r="D135" i="1"/>
  <c r="D2095" i="1"/>
  <c r="D1230" i="1"/>
  <c r="D2046" i="1"/>
  <c r="D688" i="1"/>
  <c r="D2591" i="1"/>
  <c r="D3068" i="1"/>
  <c r="D1648" i="1"/>
  <c r="D2960" i="1"/>
  <c r="D2407" i="1"/>
  <c r="D1430" i="1"/>
  <c r="D704" i="1"/>
  <c r="D30" i="1"/>
  <c r="D2840" i="1"/>
  <c r="D29" i="1"/>
  <c r="D1434" i="1"/>
  <c r="D2922" i="1"/>
  <c r="D2584" i="1"/>
  <c r="D1016" i="1"/>
  <c r="D2560" i="1"/>
  <c r="D13" i="1"/>
  <c r="D747" i="1"/>
  <c r="D2612" i="1"/>
  <c r="D2693" i="1"/>
  <c r="D2939" i="1"/>
  <c r="D184" i="1"/>
  <c r="D3938" i="1"/>
  <c r="D3375" i="1"/>
  <c r="D1621" i="1"/>
  <c r="D1008" i="1"/>
  <c r="D2090" i="1"/>
  <c r="D2201" i="1"/>
  <c r="D2042" i="1"/>
  <c r="D714" i="1"/>
  <c r="D1278" i="1"/>
  <c r="D1846" i="1"/>
  <c r="D2017" i="1"/>
  <c r="D2273" i="1"/>
  <c r="D206" i="1"/>
  <c r="D1958" i="1"/>
  <c r="D2363" i="1"/>
  <c r="D267" i="1"/>
  <c r="D3090" i="1"/>
  <c r="D1344" i="1"/>
  <c r="D1803" i="1"/>
  <c r="D1589" i="1"/>
  <c r="D2043" i="1"/>
  <c r="D197" i="1"/>
  <c r="D1057" i="1"/>
  <c r="D1157" i="1"/>
  <c r="D202" i="1"/>
  <c r="D2021" i="1"/>
  <c r="D2345" i="1"/>
  <c r="D3189" i="1"/>
  <c r="D3264" i="1"/>
  <c r="D1318" i="1"/>
  <c r="D2876" i="1"/>
  <c r="D845" i="1"/>
  <c r="D492" i="1"/>
  <c r="D1575" i="1"/>
  <c r="D3045" i="1"/>
  <c r="D3645" i="1"/>
  <c r="D762" i="1"/>
  <c r="D2833" i="1"/>
  <c r="D1922" i="1"/>
  <c r="D100" i="1"/>
  <c r="D3122" i="1"/>
  <c r="D1558" i="1"/>
  <c r="D846" i="1"/>
  <c r="D2507" i="1"/>
  <c r="D2184" i="1"/>
  <c r="D466" i="1"/>
  <c r="D15" i="1"/>
  <c r="D1248" i="1"/>
  <c r="D3676" i="1"/>
  <c r="D684" i="1"/>
  <c r="D1605" i="1"/>
  <c r="D4" i="1"/>
  <c r="D2735" i="1"/>
  <c r="D356" i="1"/>
  <c r="D720" i="1"/>
  <c r="D42" i="1"/>
  <c r="D2098" i="1"/>
  <c r="D3021" i="1"/>
  <c r="D1756" i="1"/>
  <c r="D2943" i="1"/>
  <c r="D3405" i="1"/>
  <c r="D816" i="1"/>
  <c r="D4029" i="1"/>
  <c r="D1419" i="1"/>
  <c r="D1798" i="1"/>
  <c r="D1982" i="1"/>
  <c r="D681" i="1"/>
  <c r="D1751" i="1"/>
  <c r="D461" i="1"/>
  <c r="D582" i="1"/>
  <c r="D3013" i="1"/>
  <c r="D178" i="1"/>
  <c r="D75" i="1"/>
  <c r="D326" i="1"/>
  <c r="D1727" i="1"/>
  <c r="D778" i="1"/>
  <c r="D3076" i="1"/>
  <c r="D1765" i="1"/>
  <c r="D1729" i="1"/>
  <c r="D638" i="1"/>
  <c r="D2564" i="1"/>
  <c r="D576" i="1"/>
  <c r="D2301" i="1"/>
  <c r="D1231" i="1"/>
  <c r="D1054" i="1"/>
  <c r="D2073" i="1"/>
  <c r="D1599" i="1"/>
  <c r="D166" i="1"/>
  <c r="D3984" i="1"/>
  <c r="D2598" i="1"/>
  <c r="D3210" i="1"/>
  <c r="D2995" i="1"/>
  <c r="D1740" i="1"/>
  <c r="D1135" i="1"/>
  <c r="D1426" i="1"/>
  <c r="D201" i="1"/>
  <c r="D1174" i="1"/>
  <c r="D1634" i="1"/>
  <c r="D3575" i="1"/>
  <c r="D2791" i="1"/>
  <c r="D2101" i="1"/>
  <c r="D3113" i="1"/>
  <c r="D3999" i="1"/>
  <c r="D3083" i="1"/>
  <c r="D352" i="1"/>
  <c r="D2802" i="1"/>
  <c r="D99" i="1"/>
  <c r="D1808" i="1"/>
  <c r="D249" i="1"/>
  <c r="D2633" i="1"/>
  <c r="D1216" i="1"/>
  <c r="D74" i="1"/>
  <c r="D3822" i="1"/>
  <c r="D3954" i="1"/>
  <c r="D1366" i="1"/>
  <c r="D3218" i="1"/>
  <c r="D1445" i="1"/>
  <c r="D1830" i="1"/>
  <c r="D288" i="1"/>
  <c r="D571" i="1"/>
  <c r="D2882" i="1"/>
  <c r="D3075" i="1"/>
  <c r="D2992" i="1"/>
  <c r="D3406" i="1"/>
  <c r="D2843" i="1"/>
  <c r="D387" i="1"/>
  <c r="D1706" i="1"/>
  <c r="D1467" i="1"/>
  <c r="D3416" i="1"/>
  <c r="D3060" i="1"/>
  <c r="D3865" i="1"/>
  <c r="D970" i="1"/>
  <c r="D2851" i="1"/>
  <c r="D612" i="1"/>
  <c r="D831" i="1"/>
  <c r="D1984" i="1"/>
  <c r="D1312" i="1"/>
  <c r="D3922" i="1"/>
  <c r="D262" i="1"/>
  <c r="D2687" i="1"/>
  <c r="D3640" i="1"/>
  <c r="D3544" i="1"/>
  <c r="D2818" i="1"/>
  <c r="D3234" i="1"/>
  <c r="D1077" i="1"/>
  <c r="D1725" i="1"/>
  <c r="D452" i="1"/>
  <c r="D2600" i="1"/>
  <c r="D444" i="1"/>
  <c r="D1986" i="1"/>
  <c r="D1357" i="1"/>
  <c r="D1134" i="1"/>
  <c r="D2614" i="1"/>
  <c r="D3487" i="1"/>
  <c r="D2730" i="1"/>
  <c r="D2575" i="1"/>
  <c r="D3905" i="1"/>
  <c r="D2576" i="1"/>
  <c r="D1153" i="1"/>
  <c r="D2667" i="1"/>
  <c r="D2602" i="1"/>
  <c r="D367" i="1"/>
  <c r="D858" i="1"/>
  <c r="D3700" i="1"/>
  <c r="D2468" i="1"/>
  <c r="D2859" i="1"/>
  <c r="D2799" i="1"/>
  <c r="D3840" i="1"/>
  <c r="D3007" i="1"/>
  <c r="D2850" i="1"/>
  <c r="D940" i="1"/>
  <c r="D360" i="1"/>
  <c r="D3497" i="1"/>
  <c r="D3875" i="1"/>
  <c r="D3776" i="1"/>
  <c r="D1969" i="1"/>
  <c r="D602" i="1"/>
  <c r="D358" i="1"/>
  <c r="D1477" i="1"/>
  <c r="D2974" i="1"/>
  <c r="D3782" i="1"/>
  <c r="D2548" i="1"/>
  <c r="D1084" i="1"/>
  <c r="D1507" i="1"/>
  <c r="D2135" i="1"/>
  <c r="D31" i="1"/>
  <c r="D1731" i="1"/>
  <c r="D2772" i="1"/>
  <c r="D1641" i="1"/>
  <c r="D1053" i="1"/>
  <c r="D2150" i="1"/>
  <c r="D366" i="1"/>
  <c r="D2396" i="1"/>
  <c r="D2133" i="1"/>
  <c r="D3616" i="1"/>
  <c r="D550" i="1"/>
  <c r="D1979" i="1"/>
  <c r="D2334" i="1"/>
  <c r="D3073" i="1"/>
  <c r="D3900" i="1"/>
  <c r="D1748" i="1"/>
  <c r="D3573" i="1"/>
  <c r="D38" i="1"/>
  <c r="D2537" i="1"/>
  <c r="D3553" i="1"/>
  <c r="D1742" i="1"/>
  <c r="D2495" i="1"/>
  <c r="D3173" i="1"/>
  <c r="D3169" i="1"/>
  <c r="D281" i="1"/>
  <c r="D3648" i="1"/>
  <c r="D1048" i="1"/>
  <c r="D3779" i="1"/>
  <c r="D3551" i="1"/>
  <c r="D1967" i="1"/>
  <c r="D799" i="1"/>
  <c r="D2269" i="1"/>
  <c r="D3693" i="1"/>
  <c r="D182" i="1"/>
  <c r="D1583" i="1"/>
  <c r="D3784" i="1"/>
  <c r="D1767" i="1"/>
  <c r="D1129" i="1"/>
  <c r="D1719" i="1"/>
  <c r="D3755" i="1"/>
  <c r="D1878" i="1"/>
  <c r="D1904" i="1"/>
  <c r="D2144" i="1"/>
  <c r="D3721" i="1"/>
  <c r="D1052" i="1"/>
  <c r="D3615" i="1"/>
  <c r="D983" i="1"/>
  <c r="D3056" i="1"/>
  <c r="D2638" i="1"/>
  <c r="D2524" i="1"/>
  <c r="D945" i="1"/>
  <c r="D1233" i="1"/>
  <c r="D1658" i="1"/>
  <c r="D1119" i="1"/>
  <c r="D966" i="1"/>
  <c r="D53" i="1"/>
  <c r="D2931" i="1"/>
  <c r="D3020" i="1"/>
  <c r="D402" i="1"/>
  <c r="D788" i="1"/>
  <c r="D2997" i="1"/>
  <c r="D1155" i="1"/>
  <c r="D600" i="1"/>
  <c r="D2182" i="1"/>
  <c r="D1827" i="1"/>
  <c r="D2346" i="1"/>
  <c r="D127" i="1"/>
  <c r="D2593" i="1"/>
  <c r="D261" i="1"/>
  <c r="D3967" i="1"/>
  <c r="D1734" i="1"/>
  <c r="D1810" i="1"/>
  <c r="D2376" i="1"/>
  <c r="D3744" i="1"/>
  <c r="D2573" i="1"/>
  <c r="D783" i="1"/>
  <c r="D3521" i="1"/>
  <c r="D3410" i="1"/>
  <c r="D1953" i="1"/>
  <c r="D2496" i="1"/>
  <c r="D3454" i="1"/>
  <c r="D26" i="1"/>
  <c r="D27" i="1"/>
  <c r="D2530" i="1"/>
  <c r="D2723" i="1"/>
  <c r="D244" i="1"/>
  <c r="D286" i="1"/>
  <c r="D3129" i="1"/>
  <c r="D3199" i="1"/>
  <c r="D2855" i="1"/>
  <c r="D758" i="1"/>
  <c r="D2654" i="1"/>
  <c r="D3422" i="1"/>
  <c r="D990" i="1"/>
  <c r="D498" i="1"/>
  <c r="D3749" i="1"/>
  <c r="D2389" i="1"/>
  <c r="D1258" i="1"/>
  <c r="D1142" i="1"/>
  <c r="D2050" i="1"/>
  <c r="D2065" i="1"/>
  <c r="D792" i="1"/>
  <c r="D2486" i="1"/>
  <c r="D3605" i="1"/>
  <c r="D3008" i="1"/>
  <c r="D146" i="1"/>
  <c r="D1238" i="1"/>
  <c r="D186" i="1"/>
  <c r="D1745" i="1"/>
  <c r="D2861" i="1"/>
  <c r="D2807" i="1"/>
  <c r="D2026" i="1"/>
  <c r="D1088" i="1"/>
  <c r="D1703" i="1"/>
  <c r="D2890" i="1"/>
  <c r="D2263" i="1"/>
  <c r="D3948" i="1"/>
  <c r="D587" i="1"/>
  <c r="D3148" i="1"/>
  <c r="D1764" i="1"/>
  <c r="D3443" i="1"/>
  <c r="D124" i="1"/>
  <c r="D2216" i="1"/>
  <c r="D1528" i="1"/>
  <c r="D1656" i="1"/>
  <c r="D2839" i="1"/>
  <c r="D313" i="1"/>
  <c r="D1292" i="1"/>
  <c r="D1217" i="1"/>
  <c r="D3685" i="1"/>
  <c r="D4027" i="1"/>
  <c r="D2055" i="1"/>
  <c r="D1264" i="1"/>
  <c r="D3403" i="1"/>
  <c r="D964" i="1"/>
  <c r="D2146" i="1"/>
  <c r="D373" i="1"/>
  <c r="D285" i="1"/>
  <c r="D2680" i="1"/>
  <c r="D2681" i="1"/>
  <c r="D353" i="1"/>
  <c r="D1484" i="1"/>
  <c r="D3675" i="1"/>
  <c r="D3960" i="1"/>
  <c r="D2320" i="1"/>
  <c r="D1847" i="1"/>
  <c r="D3471" i="1"/>
  <c r="D2343" i="1"/>
  <c r="D3262" i="1"/>
  <c r="D3297" i="1"/>
  <c r="D987" i="1"/>
  <c r="D114" i="1"/>
  <c r="D1011" i="1"/>
  <c r="D311" i="1"/>
  <c r="D1420" i="1"/>
  <c r="D1814" i="1"/>
  <c r="D1186" i="1"/>
  <c r="D3286" i="1"/>
  <c r="D364" i="1"/>
  <c r="D3888" i="1"/>
  <c r="D2332" i="1"/>
  <c r="D3710" i="1"/>
  <c r="D657" i="1"/>
  <c r="D1707" i="1"/>
  <c r="D2205" i="1"/>
  <c r="D1736" i="1"/>
  <c r="D1910" i="1"/>
  <c r="D2330" i="1"/>
  <c r="D1996" i="1"/>
  <c r="D806" i="1"/>
  <c r="D2312" i="1"/>
  <c r="D1040" i="1"/>
  <c r="D1778" i="1"/>
  <c r="D150" i="1"/>
  <c r="D2871" i="1"/>
  <c r="D104" i="1"/>
  <c r="D1091" i="1"/>
  <c r="D3520" i="1"/>
  <c r="D2838" i="1"/>
  <c r="D710" i="1"/>
  <c r="D2942" i="1"/>
  <c r="D729" i="1"/>
  <c r="D2776" i="1"/>
  <c r="D1857" i="1"/>
  <c r="D3381" i="1"/>
  <c r="D516" i="1"/>
  <c r="D3713" i="1"/>
  <c r="D2366" i="1"/>
  <c r="D1590" i="1"/>
  <c r="D4014" i="1"/>
  <c r="D3361" i="1"/>
  <c r="D1800" i="1"/>
  <c r="D1972" i="1"/>
  <c r="D3526" i="1"/>
  <c r="D3917" i="1"/>
  <c r="D1938" i="1"/>
  <c r="D3746" i="1"/>
  <c r="D3545" i="1"/>
  <c r="D176" i="1"/>
  <c r="D3031" i="1"/>
  <c r="D1964" i="1"/>
  <c r="D2244" i="1"/>
  <c r="D2769" i="1"/>
  <c r="D1188" i="1"/>
  <c r="D3247" i="1"/>
  <c r="D2405" i="1"/>
  <c r="D639" i="1"/>
  <c r="D641" i="1"/>
  <c r="D1871" i="1"/>
  <c r="D2392" i="1"/>
  <c r="D2924" i="1"/>
  <c r="D2362" i="1"/>
  <c r="D2691" i="1"/>
  <c r="D411" i="1"/>
  <c r="D3971" i="1"/>
  <c r="D3320" i="1"/>
  <c r="D126" i="1"/>
  <c r="D848" i="1"/>
  <c r="D1415" i="1"/>
  <c r="D1523" i="1"/>
  <c r="D3977" i="1"/>
  <c r="D1957" i="1"/>
  <c r="D3154" i="1"/>
  <c r="D1662" i="1"/>
  <c r="D3124" i="1"/>
  <c r="D1413" i="1"/>
  <c r="D2545" i="1"/>
  <c r="D278" i="1"/>
  <c r="D1110" i="1"/>
  <c r="D2132" i="1"/>
  <c r="D921" i="1"/>
  <c r="D223" i="1"/>
  <c r="D2821" i="1"/>
  <c r="D1412" i="1"/>
  <c r="D733" i="1"/>
  <c r="D2068" i="1"/>
  <c r="D2500" i="1"/>
  <c r="D1245" i="1"/>
  <c r="D2370" i="1"/>
  <c r="D1976" i="1"/>
  <c r="D486" i="1"/>
  <c r="D3530" i="1"/>
  <c r="D1065" i="1"/>
  <c r="D1075" i="1"/>
  <c r="D85" i="1"/>
  <c r="D390" i="1"/>
  <c r="D2775" i="1"/>
  <c r="D190" i="1"/>
  <c r="D3332" i="1"/>
  <c r="D2258" i="1"/>
  <c r="D917" i="1"/>
  <c r="D1339" i="1"/>
  <c r="D2456" i="1"/>
  <c r="D812" i="1"/>
  <c r="D913" i="1"/>
  <c r="D2623" i="1"/>
  <c r="D3855" i="1"/>
  <c r="D1112" i="1"/>
  <c r="D3490" i="1"/>
  <c r="D131" i="1"/>
  <c r="D1564" i="1"/>
  <c r="D590" i="1"/>
  <c r="D3102" i="1"/>
  <c r="D3431" i="1"/>
  <c r="D3539" i="1"/>
  <c r="D3353" i="1"/>
  <c r="D1779" i="1"/>
  <c r="D2427" i="1"/>
  <c r="D37" i="1"/>
  <c r="D665" i="1"/>
  <c r="D3928" i="1"/>
  <c r="D1998" i="1"/>
  <c r="D2951" i="1"/>
  <c r="D2607" i="1"/>
  <c r="D2910" i="1"/>
  <c r="D978" i="1"/>
  <c r="D251" i="1"/>
  <c r="D765" i="1"/>
  <c r="D881" i="1"/>
  <c r="D3388" i="1"/>
  <c r="D1521" i="1"/>
  <c r="D338" i="1"/>
  <c r="D3453" i="1"/>
  <c r="D1061" i="1"/>
  <c r="D1356" i="1"/>
  <c r="D1677" i="1"/>
  <c r="D2076" i="1"/>
  <c r="D1916" i="1"/>
  <c r="D1610" i="1"/>
  <c r="D3126" i="1"/>
  <c r="D3026" i="1"/>
  <c r="D3409" i="1"/>
  <c r="D2618" i="1"/>
  <c r="D3485" i="1"/>
  <c r="D1090" i="1"/>
  <c r="D3783" i="1"/>
  <c r="D97" i="1"/>
  <c r="D2451" i="1"/>
  <c r="D3391" i="1"/>
  <c r="D3348" i="1"/>
  <c r="D1774" i="1"/>
  <c r="D410" i="1"/>
  <c r="D2535" i="1"/>
  <c r="D232" i="1"/>
  <c r="D1676" i="1"/>
  <c r="D1364" i="1"/>
  <c r="D2328" i="1"/>
  <c r="D2916" i="1"/>
  <c r="D2481" i="1"/>
  <c r="D3419" i="1"/>
  <c r="D1836" i="1"/>
  <c r="D1423" i="1"/>
  <c r="D1862" i="1"/>
  <c r="D425" i="1"/>
  <c r="D631" i="1"/>
  <c r="D3711" i="1"/>
  <c r="D1480" i="1"/>
  <c r="D3990" i="1"/>
  <c r="D236" i="1"/>
  <c r="D2186" i="1"/>
  <c r="D3996" i="1"/>
  <c r="D148" i="1"/>
  <c r="D3981" i="1"/>
  <c r="D3488" i="1"/>
  <c r="D3268" i="1"/>
  <c r="D560" i="1"/>
  <c r="D86" i="1"/>
  <c r="D3630" i="1"/>
  <c r="D3036" i="1"/>
  <c r="D2641" i="1"/>
  <c r="D2888" i="1"/>
  <c r="D3853" i="1"/>
  <c r="D1688" i="1"/>
  <c r="D3004" i="1"/>
  <c r="D3767" i="1"/>
  <c r="D1718" i="1"/>
  <c r="D960" i="1"/>
  <c r="D2894" i="1"/>
  <c r="D3214" i="1"/>
  <c r="D2844" i="1"/>
  <c r="D2845" i="1"/>
  <c r="D1828" i="1"/>
  <c r="D2517" i="1"/>
  <c r="D1911" i="1"/>
  <c r="D2166" i="1"/>
  <c r="D609" i="1"/>
  <c r="D3617" i="1"/>
  <c r="D1559" i="1"/>
  <c r="D1560" i="1"/>
  <c r="D2782" i="1"/>
  <c r="D1080" i="1"/>
  <c r="D3285" i="1"/>
  <c r="D941" i="1"/>
  <c r="D77" i="1"/>
  <c r="D1123" i="1"/>
  <c r="D482" i="1"/>
  <c r="D1252" i="1"/>
  <c r="D1907" i="1"/>
  <c r="D3395" i="1"/>
  <c r="D818" i="1"/>
  <c r="D1909" i="1"/>
  <c r="D3049" i="1"/>
  <c r="D433" i="1"/>
  <c r="D1918" i="1"/>
  <c r="D3292" i="1"/>
  <c r="D3662" i="1"/>
  <c r="D1316" i="1"/>
  <c r="D179" i="1"/>
  <c r="D607" i="1"/>
  <c r="D2314" i="1"/>
  <c r="D3408" i="1"/>
  <c r="D3893" i="1"/>
  <c r="D997" i="1"/>
  <c r="D777" i="1"/>
  <c r="D2541" i="1"/>
  <c r="D2002" i="1"/>
  <c r="D2100" i="1"/>
  <c r="D3644" i="1"/>
  <c r="D1089" i="1"/>
  <c r="D3379" i="1"/>
  <c r="D738" i="1"/>
  <c r="D543" i="1"/>
  <c r="D1254" i="1"/>
  <c r="D1743" i="1"/>
  <c r="D1041" i="1"/>
  <c r="D2672" i="1"/>
  <c r="D480" i="1"/>
  <c r="D902" i="1"/>
  <c r="D3480" i="1"/>
  <c r="D1712" i="1"/>
  <c r="D620" i="1"/>
  <c r="D35" i="1"/>
  <c r="D1203" i="1"/>
  <c r="D1741" i="1"/>
  <c r="D1988" i="1"/>
  <c r="D3225" i="1"/>
  <c r="D1837" i="1"/>
  <c r="D2364" i="1"/>
  <c r="D3585" i="1"/>
  <c r="D2587" i="1"/>
  <c r="D3178" i="1"/>
  <c r="D263" i="1"/>
  <c r="D1218" i="1"/>
  <c r="D2852" i="1"/>
  <c r="D1361" i="1"/>
  <c r="D293" i="1"/>
  <c r="D1993" i="1"/>
  <c r="D2644" i="1"/>
  <c r="D2257" i="1"/>
  <c r="D1772" i="1"/>
  <c r="D1673" i="1"/>
  <c r="D129" i="1"/>
  <c r="D1562" i="1"/>
  <c r="D1921" i="1"/>
  <c r="D374" i="1"/>
  <c r="D1225" i="1"/>
  <c r="D1894" i="1"/>
  <c r="D3724" i="1"/>
  <c r="D3777" i="1"/>
  <c r="D903" i="1"/>
  <c r="D756" i="1"/>
  <c r="D1289" i="1"/>
  <c r="D3538" i="1"/>
  <c r="D888" i="1"/>
  <c r="D1891" i="1"/>
  <c r="D1865" i="1"/>
  <c r="D2085" i="1"/>
  <c r="D445" i="1"/>
  <c r="D847" i="1"/>
  <c r="D1950" i="1"/>
  <c r="D3992" i="1"/>
  <c r="D1371" i="1"/>
  <c r="D4022" i="1"/>
  <c r="D3908" i="1"/>
  <c r="D616" i="1"/>
  <c r="D2492" i="1"/>
  <c r="D1913" i="1"/>
  <c r="D2399" i="1"/>
  <c r="D1268" i="1"/>
  <c r="D645" i="1"/>
  <c r="D3035" i="1"/>
  <c r="D577" i="1"/>
  <c r="D1777" i="1"/>
  <c r="D2937" i="1"/>
  <c r="D1963" i="1"/>
  <c r="D3943" i="1"/>
  <c r="D463" i="1"/>
  <c r="D3899" i="1"/>
  <c r="D300" i="1"/>
  <c r="D1359" i="1"/>
  <c r="D2081" i="1"/>
  <c r="D380" i="1"/>
  <c r="D161" i="1"/>
  <c r="D860" i="1"/>
  <c r="D2188" i="1"/>
  <c r="D63" i="1"/>
  <c r="D2751" i="1"/>
  <c r="D246" i="1"/>
  <c r="D1669" i="1"/>
  <c r="D3951" i="1"/>
  <c r="D586" i="1"/>
  <c r="D3581" i="1"/>
  <c r="D3659" i="1"/>
  <c r="D2079" i="1"/>
  <c r="D914" i="1"/>
  <c r="D1173" i="1"/>
  <c r="D2983" i="1"/>
  <c r="D2873" i="1"/>
  <c r="D3341" i="1"/>
  <c r="D3024" i="1"/>
  <c r="D1533" i="1"/>
  <c r="D3600" i="1"/>
  <c r="D1612" i="1"/>
  <c r="D2183" i="1"/>
  <c r="D2606" i="1"/>
  <c r="D3042" i="1"/>
  <c r="D3272" i="1"/>
  <c r="D1111" i="1"/>
  <c r="D1154" i="1"/>
  <c r="D1115" i="1"/>
  <c r="D3770" i="1"/>
  <c r="D258" i="1"/>
  <c r="D90" i="1"/>
  <c r="D2941" i="1"/>
  <c r="D1856" i="1"/>
  <c r="D2736" i="1"/>
  <c r="D2097" i="1"/>
  <c r="D1386" i="1"/>
  <c r="D397" i="1"/>
  <c r="D3023" i="1"/>
  <c r="D718" i="1"/>
  <c r="D2020" i="1"/>
  <c r="D2977" i="1"/>
  <c r="D2375" i="1"/>
  <c r="D2508" i="1"/>
  <c r="D3528" i="1"/>
  <c r="D2262" i="1"/>
  <c r="D1114" i="1"/>
  <c r="D1522" i="1"/>
  <c r="D1446" i="1"/>
  <c r="D2594" i="1"/>
  <c r="D1427" i="1"/>
  <c r="D324" i="1"/>
  <c r="D1249" i="1"/>
  <c r="D751" i="1"/>
  <c r="D2249" i="1"/>
  <c r="D205" i="1"/>
  <c r="D2316" i="1"/>
  <c r="D3301" i="1"/>
  <c r="D2386" i="1"/>
  <c r="D172" i="1"/>
  <c r="D1063" i="1"/>
  <c r="D511" i="1"/>
  <c r="D2212" i="1"/>
  <c r="D270" i="1"/>
  <c r="D1062" i="1"/>
  <c r="D1735" i="1"/>
  <c r="D379" i="1"/>
  <c r="D2946" i="1"/>
  <c r="D3786" i="1"/>
  <c r="D438" i="1"/>
  <c r="D876" i="1"/>
  <c r="D763" i="1"/>
  <c r="D333" i="1"/>
  <c r="D471" i="1"/>
  <c r="D2966" i="1"/>
  <c r="D316" i="1"/>
  <c r="D3067" i="1"/>
  <c r="D1099" i="1"/>
  <c r="D2089" i="1"/>
  <c r="D337" i="1"/>
  <c r="D1987" i="1"/>
  <c r="D3982" i="1"/>
  <c r="D3337" i="1"/>
  <c r="D3843" i="1"/>
  <c r="D3688" i="1"/>
  <c r="D2759" i="1"/>
  <c r="D2162" i="1"/>
  <c r="D3289" i="1"/>
  <c r="D3441" i="1"/>
  <c r="D3935" i="1"/>
  <c r="D185" i="1"/>
  <c r="D3694" i="1"/>
  <c r="D2012" i="1"/>
  <c r="D2091" i="1"/>
  <c r="D1137" i="1"/>
  <c r="D3985" i="1"/>
  <c r="D2727" i="1"/>
  <c r="D2284" i="1"/>
  <c r="D2029" i="1"/>
  <c r="D401" i="1"/>
  <c r="D264" i="1"/>
  <c r="D2921" i="1"/>
  <c r="D3814" i="1"/>
  <c r="D1256" i="1"/>
  <c r="D52" i="1"/>
  <c r="D2948" i="1"/>
  <c r="D3100" i="1"/>
  <c r="D455" i="1"/>
  <c r="D69" i="1"/>
  <c r="D51" i="1"/>
  <c r="D3759" i="1"/>
  <c r="D2465" i="1"/>
  <c r="D3099" i="1"/>
  <c r="D3373" i="1"/>
  <c r="D2053" i="1"/>
  <c r="D3761" i="1"/>
  <c r="D2329" i="1"/>
  <c r="D1501" i="1"/>
  <c r="D2955" i="1"/>
  <c r="D2947" i="1"/>
  <c r="D3813" i="1"/>
  <c r="D979" i="1"/>
  <c r="D50" i="1"/>
  <c r="D3489" i="1"/>
  <c r="D3098" i="1"/>
  <c r="D1272" i="1"/>
  <c r="D1015" i="1"/>
  <c r="D3533" i="1"/>
  <c r="D1670" i="1"/>
  <c r="D2271" i="1"/>
  <c r="D1519" i="1"/>
  <c r="D886" i="1"/>
  <c r="D629" i="1"/>
  <c r="D2102" i="1"/>
  <c r="D465" i="1"/>
  <c r="D760" i="1"/>
  <c r="D624" i="1"/>
  <c r="D3764" i="1"/>
  <c r="D2773" i="1"/>
  <c r="D2430" i="1"/>
  <c r="D2296" i="1"/>
  <c r="D562" i="1"/>
  <c r="D1177" i="1"/>
  <c r="D2865" i="1"/>
  <c r="D1330" i="1"/>
  <c r="D375" i="1"/>
  <c r="D1346" i="1"/>
  <c r="D376" i="1"/>
  <c r="D2472" i="1"/>
  <c r="D109" i="1"/>
  <c r="D3965" i="1"/>
  <c r="D3494" i="1"/>
  <c r="D2325" i="1"/>
  <c r="D1746" i="1"/>
  <c r="D2282" i="1"/>
  <c r="D1602" i="1"/>
  <c r="D3069" i="1"/>
  <c r="D1067" i="1"/>
  <c r="D3882" i="1"/>
  <c r="D2066" i="1"/>
  <c r="D2972" i="1"/>
  <c r="D3861" i="1"/>
  <c r="D3665" i="1"/>
  <c r="D659" i="1"/>
  <c r="D998" i="1"/>
  <c r="D3074" i="1"/>
  <c r="D1023" i="1"/>
  <c r="D2141" i="1"/>
  <c r="D3661" i="1"/>
  <c r="D1663" i="1"/>
  <c r="D3392" i="1"/>
  <c r="D2160" i="1"/>
  <c r="D558" i="1"/>
  <c r="D4026" i="1"/>
  <c r="D3849" i="1"/>
  <c r="D330" i="1"/>
  <c r="D2540" i="1"/>
  <c r="D1698" i="1"/>
  <c r="D2793" i="1"/>
  <c r="D942" i="1"/>
  <c r="D1722" i="1"/>
  <c r="D2365" i="1"/>
  <c r="D802" i="1"/>
  <c r="D2849" i="1"/>
  <c r="D1354" i="1"/>
  <c r="D1799" i="1"/>
  <c r="D3880" i="1"/>
  <c r="D1899" i="1"/>
  <c r="D1350" i="1"/>
  <c r="D793" i="1"/>
  <c r="D2957" i="1"/>
  <c r="D3277" i="1"/>
  <c r="D3790" i="1"/>
  <c r="D3450" i="1"/>
  <c r="D1994" i="1"/>
  <c r="D1443" i="1"/>
  <c r="D3887" i="1"/>
  <c r="D1314" i="1"/>
  <c r="D1313" i="1"/>
  <c r="D1337" i="1"/>
  <c r="D1160" i="1"/>
  <c r="D1561" i="1"/>
  <c r="D578" i="1"/>
  <c r="D3" i="1"/>
  <c r="D2416" i="1"/>
  <c r="D875" i="1"/>
  <c r="D91" i="1"/>
  <c r="D3705" i="1"/>
  <c r="D2003" i="1"/>
  <c r="D6" i="1"/>
  <c r="D1682" i="1"/>
  <c r="D3437" i="1"/>
  <c r="D884" i="1"/>
  <c r="D1202" i="1"/>
  <c r="D494" i="1"/>
  <c r="D385" i="1"/>
  <c r="D3390" i="1"/>
  <c r="D1591" i="1"/>
  <c r="D1246" i="1"/>
  <c r="D168" i="1"/>
  <c r="D188" i="1"/>
  <c r="D79" i="1"/>
  <c r="D2650" i="1"/>
  <c r="D2629" i="1"/>
  <c r="D3911" i="1"/>
  <c r="D683" i="1"/>
  <c r="D583" i="1"/>
  <c r="D502" i="1"/>
  <c r="D317" i="1"/>
  <c r="D1653" i="1"/>
  <c r="D1416" i="1"/>
  <c r="D1530" i="1"/>
  <c r="D2604" i="1"/>
  <c r="D1199" i="1"/>
  <c r="D2018" i="1"/>
  <c r="D2480" i="1"/>
  <c r="D1143" i="1"/>
  <c r="D2911" i="1"/>
  <c r="D2543" i="1"/>
  <c r="D678" i="1"/>
  <c r="D3055" i="1"/>
  <c r="D677" i="1"/>
  <c r="D2344" i="1"/>
  <c r="D2628" i="1"/>
  <c r="D2233" i="1"/>
  <c r="D1209" i="1"/>
  <c r="D342" i="1"/>
  <c r="D3562" i="1"/>
  <c r="D3117" i="1"/>
  <c r="D2032" i="1"/>
  <c r="D1753" i="1"/>
  <c r="D585" i="1"/>
  <c r="D115" i="1"/>
  <c r="D1106" i="1"/>
  <c r="D2932" i="1"/>
  <c r="D3364" i="1"/>
  <c r="D1429" i="1"/>
  <c r="D3537" i="1"/>
  <c r="D3579" i="1"/>
  <c r="D1860" i="1"/>
  <c r="D2028" i="1"/>
  <c r="D1092" i="1"/>
  <c r="D4019" i="1"/>
  <c r="D2047" i="1"/>
  <c r="D2318" i="1"/>
  <c r="D1162" i="1"/>
  <c r="D3446" i="1"/>
  <c r="D2975" i="1"/>
  <c r="D1571" i="1"/>
  <c r="D2558" i="1"/>
  <c r="D1085" i="1"/>
  <c r="D39" i="1"/>
  <c r="D575" i="1"/>
  <c r="D856" i="1"/>
  <c r="D943" i="1"/>
  <c r="D2340" i="1"/>
  <c r="D2642" i="1"/>
  <c r="D1692" i="1"/>
  <c r="D431" i="1"/>
  <c r="D1870" i="1"/>
  <c r="D595" i="1"/>
  <c r="D3621" i="1"/>
  <c r="D17" i="1"/>
  <c r="D36" i="1"/>
  <c r="D383" i="1"/>
  <c r="D4007" i="1"/>
  <c r="D1214" i="1"/>
  <c r="D2350" i="1"/>
  <c r="D1030" i="1"/>
  <c r="D1315" i="1"/>
  <c r="D260" i="1"/>
  <c r="D3097" i="1"/>
  <c r="D1609" i="1"/>
  <c r="D1863" i="1"/>
  <c r="D2639" i="1"/>
  <c r="D4025" i="1"/>
  <c r="D864" i="1"/>
  <c r="D2441" i="1"/>
  <c r="D2505" i="1"/>
  <c r="D1095" i="1"/>
  <c r="D3160" i="1"/>
  <c r="D1818" i="1"/>
  <c r="D2762" i="1"/>
  <c r="D3011" i="1"/>
  <c r="D698" i="1"/>
  <c r="D3934" i="1"/>
  <c r="D3763" i="1"/>
  <c r="D547" i="1"/>
  <c r="D750" i="1"/>
  <c r="D2611" i="1"/>
  <c r="D1902" i="1"/>
  <c r="D3197" i="1"/>
  <c r="D2452" i="1"/>
  <c r="D1506" i="1"/>
  <c r="D2490" i="1"/>
  <c r="D3828" i="1"/>
  <c r="D2414" i="1"/>
  <c r="D3142" i="1"/>
  <c r="D3016" i="1"/>
  <c r="D102" i="1"/>
  <c r="D734" i="1"/>
  <c r="D3921" i="1"/>
  <c r="D493" i="1"/>
  <c r="D2626" i="1"/>
  <c r="D1647" i="1"/>
  <c r="D2622" i="1"/>
  <c r="D3707" i="1"/>
  <c r="D579" i="1"/>
  <c r="D518" i="1"/>
  <c r="D2846" i="1"/>
  <c r="D432" i="1"/>
  <c r="D1191" i="1"/>
  <c r="D451" i="1"/>
  <c r="D3398" i="1"/>
  <c r="D1458" i="1"/>
  <c r="D1728" i="1"/>
  <c r="D3275" i="1"/>
  <c r="D1261" i="1"/>
  <c r="D3255" i="1"/>
  <c r="D3740" i="1"/>
  <c r="D2980" i="1"/>
  <c r="D2434" i="1"/>
  <c r="D2619" i="1"/>
  <c r="D3310" i="1"/>
  <c r="D3634" i="1"/>
  <c r="D8" i="1"/>
  <c r="D3273" i="1"/>
  <c r="D2954" i="1"/>
  <c r="D2515" i="1"/>
  <c r="D1149" i="1"/>
  <c r="D811" i="1"/>
  <c r="D1730" i="1"/>
  <c r="D3701" i="1"/>
  <c r="D3706" i="1"/>
  <c r="D3190" i="1"/>
  <c r="D3363" i="1"/>
  <c r="D934" i="1"/>
  <c r="D3141" i="1"/>
  <c r="D1286" i="1"/>
  <c r="D1637" i="1"/>
  <c r="D1171" i="1"/>
  <c r="D2719" i="1"/>
  <c r="D1493" i="1"/>
  <c r="D520" i="1"/>
  <c r="D1868" i="1"/>
  <c r="D1101" i="1"/>
  <c r="D1596" i="1"/>
  <c r="D2828" i="1"/>
  <c r="D815" i="1"/>
  <c r="D430" i="1"/>
  <c r="D617" i="1"/>
  <c r="D3717" i="1"/>
  <c r="D2625" i="1"/>
  <c r="D3132" i="1"/>
  <c r="D2826" i="1"/>
  <c r="D2462" i="1"/>
  <c r="D1348" i="1"/>
  <c r="D252" i="1"/>
  <c r="D3235" i="1"/>
  <c r="D592" i="1"/>
  <c r="D3590" i="1"/>
  <c r="D3874" i="1"/>
  <c r="D1056" i="1"/>
  <c r="D1581" i="1"/>
  <c r="D302" i="1"/>
  <c r="D3070" i="1"/>
  <c r="D253" i="1"/>
  <c r="D3834" i="1"/>
  <c r="D3329" i="1"/>
  <c r="D870" i="1"/>
  <c r="D1116" i="1"/>
  <c r="D935" i="1"/>
  <c r="D2379" i="1"/>
  <c r="D3180" i="1"/>
  <c r="D3229" i="1"/>
  <c r="D3326" i="1"/>
  <c r="D1141" i="1"/>
  <c r="D1122" i="1"/>
  <c r="D1864" i="1"/>
  <c r="D442" i="1"/>
  <c r="D1390" i="1"/>
  <c r="D1103" i="1"/>
  <c r="D443" i="1"/>
  <c r="D3610" i="1"/>
  <c r="D154" i="1"/>
  <c r="D1025" i="1"/>
  <c r="D635" i="1"/>
  <c r="D382" i="1"/>
  <c r="D2969" i="1"/>
  <c r="D715" i="1"/>
  <c r="D3477" i="1"/>
  <c r="D1431" i="1"/>
  <c r="D839" i="1"/>
  <c r="D1349" i="1"/>
  <c r="D1573" i="1"/>
  <c r="D2093" i="1"/>
  <c r="D742" i="1"/>
  <c r="D834" i="1"/>
  <c r="D3657" i="1"/>
  <c r="D731" i="1"/>
  <c r="D1176" i="1"/>
  <c r="D1791" i="1"/>
  <c r="D2015" i="1"/>
  <c r="D1512" i="1"/>
  <c r="D3836" i="1"/>
  <c r="D3396" i="1"/>
  <c r="D3672" i="1"/>
  <c r="D2646" i="1"/>
  <c r="D59" i="1"/>
  <c r="D2899" i="1"/>
  <c r="D957" i="1"/>
  <c r="D3821" i="1"/>
  <c r="D1352" i="1"/>
  <c r="D1387" i="1"/>
  <c r="D3808" i="1"/>
  <c r="D545" i="1"/>
  <c r="D3703" i="1"/>
  <c r="D3889" i="1"/>
  <c r="D3261" i="1"/>
  <c r="D1241" i="1"/>
  <c r="D1288" i="1"/>
  <c r="D1852" i="1"/>
  <c r="D2981" i="1"/>
  <c r="D412" i="1"/>
  <c r="D1820" i="1"/>
  <c r="D3369" i="1"/>
  <c r="D2435" i="1"/>
  <c r="D3552" i="1"/>
  <c r="D1010" i="1"/>
  <c r="D3503" i="1"/>
  <c r="D3964" i="1"/>
  <c r="D1645" i="1"/>
  <c r="D3359" i="1"/>
  <c r="D3161" i="1"/>
  <c r="D3207" i="1"/>
  <c r="D384" i="1"/>
  <c r="D3217" i="1"/>
  <c r="D3174" i="1"/>
  <c r="D3012" i="1"/>
  <c r="D827" i="1"/>
  <c r="D1813" i="1"/>
  <c r="D3653" i="1"/>
  <c r="D3241" i="1"/>
  <c r="D3300" i="1"/>
  <c r="D3712" i="1"/>
  <c r="D774" i="1"/>
  <c r="D2494" i="1"/>
  <c r="D2963" i="1"/>
  <c r="D2275" i="1"/>
  <c r="D1534" i="1"/>
  <c r="D841" i="1"/>
  <c r="D3604" i="1"/>
  <c r="D3481" i="1"/>
  <c r="D3137" i="1"/>
  <c r="D3123" i="1"/>
  <c r="D2103" i="1"/>
  <c r="D1944" i="1"/>
  <c r="D939" i="1"/>
  <c r="D840" i="1"/>
  <c r="D23" i="1"/>
  <c r="D4000" i="1"/>
  <c r="D3138" i="1"/>
  <c r="D3723" i="1"/>
  <c r="D1184" i="1"/>
  <c r="D1497" i="1"/>
  <c r="D3014" i="1"/>
  <c r="D3955" i="1"/>
  <c r="D1283" i="1"/>
  <c r="D796" i="1"/>
  <c r="D3385" i="1"/>
  <c r="D1563" i="1"/>
  <c r="D3271" i="1"/>
  <c r="D2506" i="1"/>
  <c r="D3774" i="1"/>
  <c r="D3397" i="1"/>
  <c r="D1130" i="1"/>
  <c r="D3535" i="1"/>
  <c r="D2504" i="1"/>
  <c r="D925" i="1"/>
  <c r="D2113" i="1"/>
  <c r="D931" i="1"/>
  <c r="D736" i="1"/>
  <c r="D3120" i="1"/>
  <c r="D3801" i="1"/>
  <c r="D1869" i="1"/>
  <c r="D1109" i="1"/>
  <c r="D2511" i="1"/>
  <c r="D1036" i="1"/>
  <c r="D3831" i="1"/>
  <c r="D2221" i="1"/>
  <c r="D2699" i="1"/>
  <c r="D7" i="1"/>
  <c r="D3338" i="1"/>
  <c r="D3136" i="1"/>
  <c r="D1139" i="1"/>
  <c r="D3426" i="1"/>
  <c r="D2889" i="1"/>
  <c r="D2297" i="1"/>
  <c r="D3387" i="1"/>
  <c r="D2455" i="1"/>
  <c r="D3415" i="1"/>
  <c r="D1300" i="1"/>
  <c r="D229" i="1"/>
  <c r="D2725" i="1"/>
  <c r="D994" i="1"/>
  <c r="D3087" i="1"/>
  <c r="D448" i="1"/>
  <c r="D3626" i="1"/>
  <c r="D3890" i="1"/>
  <c r="D419" i="1"/>
  <c r="D183" i="1"/>
  <c r="D2750" i="1"/>
  <c r="D2881" i="1"/>
  <c r="D2986" i="1"/>
  <c r="D3079" i="1"/>
  <c r="D504" i="1"/>
  <c r="D4035" i="1"/>
  <c r="D2748" i="1"/>
  <c r="D2264" i="1"/>
  <c r="D191" i="1"/>
  <c r="D3719" i="1"/>
  <c r="D534" i="1"/>
  <c r="D1006" i="1"/>
  <c r="D3704" i="1"/>
  <c r="D2168" i="1"/>
  <c r="D521" i="1"/>
  <c r="D2670" i="1"/>
  <c r="D1291" i="1"/>
  <c r="D2813" i="1"/>
  <c r="D4009" i="1"/>
  <c r="D2157" i="1"/>
  <c r="D1775" i="1"/>
  <c r="D2757" i="1"/>
  <c r="D2476" i="1"/>
  <c r="D1031" i="1"/>
  <c r="D1973" i="1"/>
  <c r="D3455" i="1"/>
  <c r="D3459" i="1"/>
  <c r="D3458" i="1"/>
  <c r="D194" i="1"/>
  <c r="D3457" i="1"/>
  <c r="D3456" i="1"/>
  <c r="D3468" i="1"/>
  <c r="D3467" i="1"/>
  <c r="D3466" i="1"/>
  <c r="D3465" i="1"/>
  <c r="D3464" i="1"/>
  <c r="D2169" i="1"/>
  <c r="D2195" i="1"/>
  <c r="D821" i="1"/>
  <c r="D567" i="1"/>
  <c r="D2929" i="1"/>
  <c r="D3565" i="1"/>
  <c r="D1665" i="1"/>
  <c r="D2869" i="1"/>
  <c r="D1310" i="1"/>
  <c r="D1854" i="1"/>
  <c r="D1323" i="1"/>
  <c r="D2194" i="1"/>
  <c r="D1755" i="1"/>
  <c r="D2179" i="1"/>
  <c r="D1239" i="1"/>
  <c r="D808" i="1"/>
  <c r="D2199" i="1"/>
  <c r="D2819" i="1"/>
  <c r="D996" i="1"/>
  <c r="D3709" i="1"/>
  <c r="D2200" i="1"/>
  <c r="D3932" i="1"/>
  <c r="D3628" i="1"/>
  <c r="D3389" i="1"/>
  <c r="D1240" i="1"/>
  <c r="D1531" i="1"/>
  <c r="D2880" i="1"/>
  <c r="D235" i="1"/>
  <c r="D707" i="1"/>
  <c r="D986" i="1"/>
  <c r="D2260" i="1"/>
  <c r="D3772" i="1"/>
  <c r="D2879" i="1"/>
  <c r="D3269" i="1"/>
  <c r="D3215" i="1"/>
  <c r="D93" i="1"/>
  <c r="D2669" i="1"/>
  <c r="D1766" i="1"/>
  <c r="D716" i="1"/>
  <c r="D1577" i="1"/>
  <c r="D3851" i="1"/>
  <c r="D2321" i="1"/>
  <c r="D196" i="1"/>
  <c r="D2242" i="1"/>
  <c r="D1897" i="1"/>
  <c r="D563" i="1"/>
  <c r="D3461" i="1"/>
  <c r="D539" i="1"/>
  <c r="D2536" i="1"/>
  <c r="D2569" i="1"/>
  <c r="D1576" i="1"/>
  <c r="D775" i="1"/>
  <c r="D3692" i="1"/>
  <c r="D1227" i="1"/>
  <c r="D911" i="1"/>
  <c r="D3298" i="1"/>
  <c r="D664" i="1"/>
  <c r="D499" i="1"/>
  <c r="D3376" i="1"/>
  <c r="D80" i="1"/>
  <c r="D606" i="1"/>
  <c r="D4003" i="1"/>
  <c r="D597" i="1"/>
  <c r="D3462" i="1"/>
  <c r="D73" i="1"/>
  <c r="D3463" i="1"/>
  <c r="D832" i="1"/>
  <c r="D2057" i="1"/>
  <c r="D724" i="1"/>
  <c r="D805" i="1"/>
  <c r="D630" i="1"/>
  <c r="D1544" i="1"/>
  <c r="D605" i="1"/>
  <c r="D2445" i="1"/>
  <c r="D2786" i="1"/>
  <c r="D1290" i="1"/>
  <c r="D3769" i="1"/>
  <c r="D1555" i="1"/>
  <c r="D2984" i="1"/>
  <c r="D3091" i="1"/>
  <c r="D878" i="1"/>
  <c r="D1781" i="1"/>
  <c r="D3886" i="1"/>
  <c r="D1684" i="1"/>
  <c r="D1655" i="1"/>
  <c r="D2295" i="1"/>
  <c r="D2987" i="1"/>
  <c r="D209" i="1"/>
  <c r="D3460" i="1"/>
  <c r="D1632" i="1"/>
  <c r="D1035" i="1"/>
  <c r="D1391" i="1"/>
  <c r="D2402" i="1"/>
  <c r="D2176" i="1"/>
  <c r="D3824" i="1"/>
  <c r="D2862" i="1"/>
  <c r="D441" i="1"/>
  <c r="D3066" i="1"/>
  <c r="D3041" i="1"/>
  <c r="D2164" i="1"/>
  <c r="D3677" i="1"/>
  <c r="D1001" i="1"/>
  <c r="D2198" i="1"/>
  <c r="D2220" i="1"/>
  <c r="D3639" i="1"/>
  <c r="D328" i="1"/>
  <c r="D2209" i="1"/>
  <c r="D1243" i="1"/>
  <c r="D1919" i="1"/>
  <c r="D2985" i="1"/>
  <c r="D1952" i="1"/>
  <c r="D1644" i="1"/>
  <c r="D1418" i="1"/>
  <c r="D3003" i="1"/>
  <c r="D1325" i="1"/>
  <c r="D507" i="1"/>
  <c r="D3737" i="1"/>
  <c r="D221" i="1"/>
  <c r="D786" i="1"/>
  <c r="D636" i="1"/>
  <c r="D2197" i="1"/>
  <c r="D2556" i="1"/>
  <c r="D640" i="1"/>
  <c r="D509" i="1"/>
  <c r="D248" i="1"/>
  <c r="D496" i="1"/>
  <c r="D2712" i="1"/>
  <c r="D2181" i="1"/>
  <c r="D2267" i="1"/>
  <c r="D3201" i="1"/>
  <c r="D2217" i="1"/>
  <c r="D2663" i="1"/>
  <c r="D1924" i="1"/>
  <c r="D533" i="1"/>
  <c r="D2555" i="1"/>
  <c r="D467" i="1"/>
  <c r="D880" i="1"/>
  <c r="D598" i="1"/>
  <c r="D1360" i="1"/>
  <c r="D1900" i="1"/>
  <c r="D3891" i="1"/>
  <c r="D3044" i="1"/>
  <c r="D2225" i="1"/>
  <c r="D2781" i="1"/>
  <c r="D3976" i="1"/>
  <c r="D2172" i="1"/>
  <c r="D647" i="1"/>
  <c r="D2755" i="1"/>
  <c r="D634" i="1"/>
  <c r="D2403" i="1"/>
  <c r="D1074" i="1"/>
  <c r="D658" i="1"/>
  <c r="D2820" i="1"/>
  <c r="D346" i="1"/>
  <c r="D1324" i="1"/>
  <c r="D195" i="1"/>
  <c r="D1022" i="1"/>
  <c r="D697" i="1"/>
  <c r="D2349" i="1"/>
  <c r="D2568" i="1"/>
  <c r="D682" i="1"/>
  <c r="D791" i="1"/>
  <c r="D3686" i="1"/>
  <c r="D1633" i="1"/>
  <c r="D3133" i="1"/>
  <c r="D1784" i="1"/>
  <c r="D1578" i="1"/>
  <c r="D11" i="1"/>
  <c r="D3756" i="1"/>
  <c r="D47" i="1"/>
  <c r="D1326" i="1"/>
  <c r="D119" i="1"/>
  <c r="D473" i="1"/>
  <c r="D89" i="1"/>
  <c r="D4001" i="1"/>
  <c r="D1962" i="1"/>
  <c r="D2754" i="1"/>
  <c r="D1280" i="1"/>
  <c r="D553" i="1"/>
  <c r="D3022" i="1"/>
  <c r="D3475" i="1"/>
  <c r="D2384" i="1"/>
  <c r="D2729" i="1"/>
  <c r="D977" i="1"/>
  <c r="D484" i="1"/>
  <c r="D2453" i="1"/>
  <c r="D1629" i="1"/>
  <c r="D1749" i="1"/>
  <c r="D10" i="1"/>
  <c r="D3134" i="1"/>
  <c r="D1353" i="1"/>
  <c r="D2797" i="1"/>
  <c r="D3892" i="1"/>
  <c r="D292" i="1"/>
  <c r="D2088" i="1"/>
  <c r="D3995" i="1"/>
  <c r="D976" i="1"/>
  <c r="D512" i="1"/>
  <c r="D1948" i="1"/>
  <c r="D1858" i="1"/>
  <c r="D854" i="1"/>
  <c r="D2908" i="1"/>
  <c r="D2716" i="1"/>
  <c r="D2016" i="1"/>
  <c r="D1247" i="1"/>
  <c r="D2676" i="1"/>
  <c r="D1708" i="1"/>
  <c r="D3349" i="1"/>
  <c r="D2165" i="1"/>
  <c r="D1992" i="1"/>
  <c r="D2822" i="1"/>
  <c r="D1622" i="1"/>
  <c r="D743" i="1"/>
  <c r="D850" i="1"/>
  <c r="D3050" i="1"/>
  <c r="D2578" i="1"/>
  <c r="D2708" i="1"/>
  <c r="D3699" i="1"/>
  <c r="D371" i="1"/>
  <c r="D1329" i="1"/>
  <c r="D1603" i="1"/>
  <c r="D3926" i="1"/>
  <c r="D2114" i="1"/>
  <c r="D3187" i="1"/>
  <c r="D72" i="1"/>
  <c r="D3924" i="1"/>
  <c r="D3649" i="1"/>
  <c r="D2152" i="1"/>
  <c r="D3652" i="1"/>
  <c r="D363" i="1"/>
  <c r="D1954" i="1"/>
  <c r="D1206" i="1"/>
  <c r="D3305" i="1"/>
  <c r="D2830" i="1"/>
  <c r="D449" i="1"/>
  <c r="D2380" i="1"/>
  <c r="D1526" i="1"/>
  <c r="D803" i="1"/>
  <c r="D43" i="1"/>
  <c r="D3479" i="1"/>
  <c r="D2256" i="1"/>
  <c r="D3059" i="1"/>
  <c r="D3502" i="1"/>
  <c r="D3263" i="1"/>
  <c r="D807" i="1"/>
  <c r="D3278" i="1"/>
  <c r="D2059" i="1"/>
  <c r="D2864" i="1"/>
  <c r="D3504" i="1"/>
  <c r="D2562" i="1"/>
  <c r="D2883" i="1"/>
  <c r="D2086" i="1"/>
  <c r="D1817" i="1"/>
  <c r="D2704" i="1"/>
  <c r="D3818" i="1"/>
  <c r="D877" i="1"/>
  <c r="D447" i="1"/>
  <c r="D2893" i="1"/>
  <c r="D2817" i="1"/>
  <c r="D1895" i="1"/>
  <c r="D88" i="1"/>
  <c r="D3593" i="1"/>
  <c r="D3495" i="1"/>
  <c r="D247" i="1"/>
  <c r="D2189" i="1"/>
  <c r="D885" i="1"/>
  <c r="D3570" i="1"/>
  <c r="D2204" i="1"/>
  <c r="D1631" i="1"/>
  <c r="D1049" i="1"/>
  <c r="D3491" i="1"/>
  <c r="D1166" i="1"/>
  <c r="D1529" i="1"/>
  <c r="D538" i="1"/>
  <c r="D1623" i="1"/>
  <c r="D1244" i="1"/>
  <c r="D307" i="1"/>
  <c r="D1851" i="1"/>
  <c r="D2673" i="1"/>
  <c r="D2662" i="1"/>
  <c r="D1183" i="1"/>
  <c r="D861" i="1"/>
  <c r="D318" i="1"/>
  <c r="D3324" i="1"/>
  <c r="D1835" i="1"/>
  <c r="D2925" i="1"/>
  <c r="D2635" i="1"/>
  <c r="D1945" i="1"/>
  <c r="D2717" i="1"/>
  <c r="D4023" i="1"/>
  <c r="D1343" i="1"/>
  <c r="D296" i="1"/>
  <c r="D2527" i="1"/>
  <c r="D730" i="1"/>
  <c r="D2253" i="1"/>
  <c r="D84" i="1"/>
  <c r="D3119" i="1"/>
  <c r="D3062" i="1"/>
  <c r="D863" i="1"/>
  <c r="D837" i="1"/>
  <c r="D2534" i="1"/>
  <c r="D1565" i="1"/>
  <c r="D3794" i="1"/>
  <c r="D1081" i="1"/>
  <c r="D3725" i="1"/>
  <c r="D1450" i="1"/>
  <c r="D450" i="1"/>
  <c r="D3532" i="1"/>
  <c r="D1680" i="1"/>
  <c r="D3063" i="1"/>
  <c r="D3473" i="1"/>
  <c r="D1333" i="1"/>
  <c r="D2300" i="1"/>
  <c r="D479" i="1"/>
  <c r="D1432" i="1"/>
  <c r="D1425" i="1"/>
  <c r="D2803" i="1"/>
  <c r="D723" i="1"/>
  <c r="D853" i="1"/>
  <c r="D3162" i="1"/>
  <c r="D3517" i="1"/>
  <c r="D3111" i="1"/>
  <c r="D1334" i="1"/>
  <c r="D1951" i="1"/>
  <c r="D1592" i="1"/>
  <c r="D2671" i="1"/>
  <c r="D1752" i="1"/>
  <c r="D689" i="1"/>
  <c r="D3923" i="1"/>
  <c r="D3870" i="1"/>
  <c r="D2111" i="1"/>
  <c r="D133" i="1"/>
  <c r="D3321" i="1"/>
  <c r="D3354" i="1"/>
  <c r="D1750" i="1"/>
  <c r="D362" i="1"/>
  <c r="D1190" i="1"/>
  <c r="D3203" i="1"/>
  <c r="D1579" i="1"/>
  <c r="D1066" i="1"/>
  <c r="D2917" i="1"/>
  <c r="D3267" i="1"/>
  <c r="D1029" i="1"/>
  <c r="D1464" i="1"/>
  <c r="D3607" i="1"/>
  <c r="D3913" i="1"/>
  <c r="D3508" i="1"/>
  <c r="D2580" i="1"/>
  <c r="D1850" i="1"/>
  <c r="D781" i="1"/>
  <c r="D3413" i="1"/>
  <c r="D3171" i="1"/>
  <c r="D3414" i="1"/>
  <c r="D2887" i="1"/>
  <c r="D1370" i="1"/>
  <c r="D3256" i="1"/>
  <c r="D2962" i="1"/>
  <c r="D2832" i="1"/>
  <c r="D2690" i="1"/>
  <c r="D3360" i="1"/>
  <c r="D4020" i="1"/>
  <c r="D2009" i="1"/>
  <c r="D3956" i="1"/>
  <c r="D2010" i="1"/>
  <c r="D1082" i="1"/>
  <c r="D1385" i="1"/>
  <c r="D2128" i="1"/>
  <c r="D48" i="1"/>
  <c r="D1936" i="1"/>
  <c r="D1546" i="1"/>
  <c r="D436" i="1"/>
  <c r="D3295" i="1"/>
  <c r="D2749" i="1"/>
  <c r="D2665" i="1"/>
  <c r="D1201" i="1"/>
  <c r="D1093" i="1"/>
  <c r="D890" i="1"/>
  <c r="D1014" i="1"/>
  <c r="D1619" i="1"/>
  <c r="D662" i="1"/>
  <c r="D3103" i="1"/>
  <c r="D4017" i="1"/>
  <c r="D2570" i="1"/>
  <c r="D3743" i="1"/>
  <c r="D2577" i="1"/>
  <c r="D2780" i="1"/>
  <c r="D1732" i="1"/>
  <c r="D422" i="1"/>
  <c r="D554" i="1"/>
  <c r="D460" i="1"/>
  <c r="D581" i="1"/>
  <c r="D112" i="1"/>
  <c r="D2440" i="1"/>
  <c r="D2378" i="1"/>
  <c r="D3447" i="1"/>
  <c r="D2290" i="1"/>
  <c r="D968" i="1"/>
  <c r="D1968" i="1"/>
  <c r="D3293" i="1"/>
  <c r="D3963" i="1"/>
  <c r="D1164" i="1"/>
  <c r="D596" i="1"/>
  <c r="D3304" i="1"/>
  <c r="D3435" i="1"/>
  <c r="D3434" i="1"/>
  <c r="D1331" i="1"/>
  <c r="D2711" i="1"/>
  <c r="D3854" i="1"/>
  <c r="D3294" i="1"/>
  <c r="D3245" i="1"/>
  <c r="D2259" i="1"/>
  <c r="D3436" i="1"/>
  <c r="D3751" i="1"/>
  <c r="D3588" i="1"/>
  <c r="D1341" i="1"/>
  <c r="D2001" i="1"/>
  <c r="D3841" i="1"/>
  <c r="D1382" i="1"/>
  <c r="D1195" i="1"/>
  <c r="D1652" i="1"/>
  <c r="D2071" i="1"/>
  <c r="D867" i="1"/>
  <c r="D3496" i="1"/>
  <c r="D139" i="1"/>
  <c r="D1638" i="1"/>
  <c r="D3009" i="1"/>
  <c r="D421" i="1"/>
  <c r="D1004" i="1"/>
  <c r="D370" i="1"/>
  <c r="D3748" i="1"/>
  <c r="D1322" i="1"/>
  <c r="D1170" i="1"/>
  <c r="D1172" i="1"/>
  <c r="D457" i="1"/>
  <c r="D268" i="1"/>
  <c r="D1277" i="1"/>
  <c r="D3322" i="1"/>
  <c r="D721" i="1"/>
  <c r="D2207" i="1"/>
  <c r="D513" i="1"/>
  <c r="D708" i="1"/>
  <c r="D2051" i="1"/>
  <c r="D2854" i="1"/>
  <c r="D1699" i="1"/>
  <c r="D1683" i="1"/>
  <c r="D1319" i="1"/>
  <c r="D418" i="1"/>
  <c r="D2326" i="1"/>
  <c r="D361" i="1"/>
  <c r="D2443" i="1"/>
  <c r="D646" i="1"/>
  <c r="D1050" i="1"/>
  <c r="D2705" i="1"/>
  <c r="D120" i="1"/>
  <c r="D919" i="1"/>
  <c r="D959" i="1"/>
  <c r="D276" i="1"/>
  <c r="D3501" i="1"/>
  <c r="D1462" i="1"/>
  <c r="D1821" i="1"/>
  <c r="D503" i="1"/>
  <c r="D1613" i="1"/>
  <c r="D2752" i="1"/>
  <c r="D655" i="1"/>
  <c r="D348" i="1"/>
  <c r="D2080" i="1"/>
  <c r="D1442" i="1"/>
  <c r="D785" i="1"/>
  <c r="D1702" i="1"/>
  <c r="D1695" i="1"/>
  <c r="D3522" i="1"/>
  <c r="D2798" i="1"/>
  <c r="D3850" i="1"/>
  <c r="D3284" i="1"/>
  <c r="D869" i="1"/>
  <c r="D1121" i="1"/>
  <c r="D1307" i="1"/>
  <c r="D1380" i="1"/>
  <c r="D3970" i="1"/>
  <c r="D1393" i="1"/>
  <c r="D1733" i="1"/>
  <c r="D2613" i="1"/>
  <c r="D2891" i="1"/>
  <c r="D440" i="1"/>
  <c r="D963" i="1"/>
  <c r="D1394" i="1"/>
  <c r="D601" i="1"/>
  <c r="D3191" i="1"/>
  <c r="D325" i="1"/>
  <c r="D3679" i="1"/>
  <c r="D3000" i="1"/>
  <c r="D2978" i="1"/>
  <c r="D1351" i="1"/>
  <c r="D2870" i="1"/>
  <c r="D2327" i="1"/>
  <c r="D3086" i="1"/>
  <c r="D1405" i="1"/>
  <c r="D290" i="1"/>
  <c r="D2279" i="1"/>
  <c r="D1595" i="1"/>
  <c r="D1668" i="1"/>
  <c r="D2805" i="1"/>
  <c r="D2083" i="1"/>
  <c r="D1760" i="1"/>
  <c r="D822" i="1"/>
  <c r="D3095" i="1"/>
  <c r="D626" i="1"/>
  <c r="D2075" i="1"/>
  <c r="D2072" i="1"/>
  <c r="D95" i="1"/>
  <c r="D1381" i="1"/>
  <c r="D3987" i="1"/>
  <c r="D3730" i="1"/>
  <c r="D3147" i="1"/>
  <c r="D1417" i="1"/>
  <c r="D712" i="1"/>
  <c r="D437" i="1"/>
  <c r="D240" i="1"/>
  <c r="D3695" i="1"/>
  <c r="D3259" i="1"/>
  <c r="D2866" i="1"/>
  <c r="D2" i="1"/>
  <c r="D2096" i="1"/>
  <c r="D283" i="1"/>
  <c r="D3791" i="1"/>
  <c r="D529" i="1"/>
  <c r="D381" i="1"/>
  <c r="D1840" i="1"/>
  <c r="D2145" i="1"/>
  <c r="D2928" i="1"/>
  <c r="D2470" i="1"/>
  <c r="D3793" i="1"/>
  <c r="D1675" i="1"/>
  <c r="D3944" i="1"/>
  <c r="D1747" i="1"/>
  <c r="D2684" i="1"/>
  <c r="D1018" i="1"/>
  <c r="D2230" i="1"/>
  <c r="D1409" i="1"/>
  <c r="D709" i="1"/>
  <c r="D3448" i="1"/>
  <c r="D1630" i="1"/>
  <c r="D3654" i="1"/>
  <c r="D2292" i="1"/>
  <c r="D3279" i="1"/>
  <c r="D3266" i="1"/>
  <c r="D3603" i="1"/>
  <c r="D1678" i="1"/>
  <c r="D3372" i="1"/>
  <c r="D2522" i="1"/>
  <c r="D3937" i="1"/>
  <c r="D2571" i="1"/>
  <c r="D2036" i="1"/>
  <c r="D2761" i="1"/>
  <c r="D2815" i="1"/>
  <c r="D650" i="1"/>
  <c r="D1556" i="1"/>
  <c r="D415" i="1"/>
  <c r="D3280" i="1"/>
  <c r="D2406" i="1"/>
  <c r="D1463" i="1"/>
  <c r="D3668" i="1"/>
  <c r="D1639" i="1"/>
  <c r="D3647" i="1"/>
  <c r="D3660" i="1"/>
  <c r="D3260" i="1"/>
  <c r="D3936" i="1"/>
  <c r="D2408" i="1"/>
  <c r="D2236" i="1"/>
  <c r="D2011" i="1"/>
  <c r="D3236" i="1"/>
  <c r="D2652" i="1"/>
  <c r="D1874" i="1"/>
  <c r="D3915" i="1"/>
  <c r="D234" i="1"/>
  <c r="D2474" i="1"/>
  <c r="D2110" i="1"/>
  <c r="D408" i="1"/>
  <c r="D2336" i="1"/>
  <c r="D2298" i="1"/>
  <c r="D3902" i="1"/>
  <c r="D1255" i="1"/>
  <c r="D1635" i="1"/>
  <c r="D1306" i="1"/>
  <c r="D1690" i="1"/>
  <c r="D2454" i="1"/>
  <c r="D3077" i="1"/>
  <c r="D2595" i="1"/>
  <c r="D1039" i="1"/>
  <c r="D3118" i="1"/>
  <c r="D3689" i="1"/>
  <c r="D1345" i="1"/>
  <c r="D3732" i="1"/>
  <c r="D3115" i="1"/>
  <c r="D556" i="1"/>
  <c r="D2310" i="1"/>
  <c r="D2398" i="1"/>
  <c r="D3989" i="1"/>
  <c r="D1825" i="1"/>
  <c r="D1826" i="1"/>
  <c r="D3170" i="1"/>
  <c r="D3609" i="1"/>
  <c r="D804" i="1"/>
  <c r="D893" i="1"/>
  <c r="D4036" i="1"/>
  <c r="D985" i="1"/>
  <c r="D1773" i="1"/>
  <c r="D2395" i="1"/>
  <c r="D3163" i="1"/>
  <c r="D2767" i="1"/>
  <c r="D3281" i="1"/>
  <c r="D2341" i="1"/>
  <c r="D1224" i="1"/>
  <c r="D3959" i="1"/>
  <c r="D652" i="1"/>
  <c r="D216" i="1"/>
  <c r="D1311" i="1"/>
  <c r="D2339" i="1"/>
  <c r="D739" i="1"/>
  <c r="D740" i="1"/>
  <c r="D2048" i="1"/>
  <c r="D2158" i="1"/>
  <c r="D2250" i="1"/>
  <c r="D435" i="1"/>
  <c r="D1553" i="1"/>
  <c r="D395" i="1"/>
  <c r="D3879" i="1"/>
  <c r="D741" i="1"/>
  <c r="D3681" i="1"/>
  <c r="D98" i="1"/>
  <c r="D222" i="1"/>
  <c r="D1892" i="1"/>
  <c r="D3618" i="1"/>
  <c r="D3071" i="1"/>
  <c r="D2697" i="1"/>
  <c r="D551" i="1"/>
  <c r="D948" i="1"/>
  <c r="D2167" i="1"/>
  <c r="D2488" i="1"/>
  <c r="D3785" i="1"/>
  <c r="D1193" i="1"/>
  <c r="D1317" i="1"/>
  <c r="D2945" i="1"/>
  <c r="D660" i="1"/>
  <c r="D2489" i="1"/>
  <c r="D3637" i="1"/>
  <c r="D1372" i="1"/>
  <c r="D1207" i="1"/>
  <c r="D3947" i="1"/>
  <c r="D2112" i="1"/>
  <c r="D3081" i="1"/>
  <c r="D1362" i="1"/>
  <c r="D193" i="1"/>
  <c r="D110" i="1"/>
  <c r="D3742" i="1"/>
  <c r="D2108" i="1"/>
  <c r="D3969" i="1"/>
  <c r="D849" i="1"/>
  <c r="D2823" i="1"/>
  <c r="D1885" i="1"/>
  <c r="D2531" i="1"/>
  <c r="D1124" i="1"/>
  <c r="D2778" i="1"/>
  <c r="D3852" i="1"/>
  <c r="D2698" i="1"/>
  <c r="D2428" i="1"/>
  <c r="D2161" i="1"/>
  <c r="D1816" i="1"/>
  <c r="D2868" i="1"/>
  <c r="D3601" i="1"/>
  <c r="D2119" i="1"/>
  <c r="D1616" i="1"/>
  <c r="D2572" i="1"/>
  <c r="D3239" i="1"/>
  <c r="D3531" i="1"/>
  <c r="D749" i="1"/>
  <c r="D1797" i="1"/>
  <c r="D3558" i="1"/>
  <c r="D1879" i="1"/>
  <c r="D1883" i="1"/>
  <c r="D3432" i="1"/>
  <c r="D3624" i="1"/>
  <c r="D3472" i="1"/>
  <c r="D3238" i="1"/>
  <c r="D2753" i="1"/>
  <c r="D4010" i="1"/>
  <c r="D1466" i="1"/>
  <c r="D210" i="1"/>
  <c r="D2579" i="1"/>
  <c r="D3633" i="1"/>
  <c r="D649" i="1"/>
  <c r="D761" i="1"/>
  <c r="D3536" i="1"/>
  <c r="D453" i="1"/>
  <c r="D2025" i="1"/>
  <c r="D3514" i="1"/>
  <c r="D717" i="1"/>
  <c r="D321" i="1"/>
  <c r="D3642" i="1"/>
  <c r="D3291" i="1"/>
  <c r="D3182" i="1"/>
  <c r="D187" i="1"/>
  <c r="D3515" i="1"/>
  <c r="D3513" i="1"/>
  <c r="D2643" i="1"/>
  <c r="D1812" i="1"/>
  <c r="D735" i="1"/>
  <c r="D3927" i="1"/>
  <c r="D1253" i="1"/>
  <c r="D3916" i="1"/>
  <c r="D1226" i="1"/>
  <c r="D3901" i="1"/>
  <c r="D3592" i="1"/>
  <c r="D2289" i="1"/>
  <c r="D594" i="1"/>
  <c r="D2218" i="1"/>
  <c r="D3903" i="1"/>
  <c r="D2439" i="1"/>
  <c r="D1940" i="1"/>
  <c r="D2756" i="1"/>
  <c r="D180" i="1"/>
  <c r="D2544" i="1"/>
  <c r="D96" i="1"/>
  <c r="D3486" i="1"/>
  <c r="D3339" i="1"/>
  <c r="D701" i="1"/>
  <c r="D3876" i="1"/>
  <c r="D3265" i="1"/>
  <c r="D4008" i="1"/>
  <c r="D3164" i="1"/>
  <c r="D1977" i="1"/>
  <c r="D3728" i="1"/>
  <c r="D1120" i="1"/>
  <c r="D55" i="1"/>
  <c r="D2115" i="1"/>
  <c r="D1064" i="1"/>
  <c r="D3950" i="1"/>
  <c r="D3509" i="1"/>
  <c r="D3383" i="1"/>
  <c r="D1625" i="1"/>
  <c r="D4024" i="1"/>
  <c r="D1042" i="1"/>
  <c r="D2915" i="1"/>
  <c r="D920" i="1"/>
  <c r="D3574" i="1"/>
  <c r="D2129" i="1"/>
  <c r="D365" i="1"/>
  <c r="D404" i="1"/>
  <c r="D491" i="1"/>
  <c r="D3188" i="1"/>
  <c r="D1335" i="1"/>
  <c r="D3656" i="1"/>
  <c r="D2033" i="1"/>
  <c r="D3557" i="1"/>
  <c r="D1927" i="1"/>
  <c r="D2848" i="1"/>
  <c r="D1539" i="1"/>
  <c r="D1263" i="1"/>
  <c r="D3941" i="1"/>
  <c r="D3318" i="1"/>
  <c r="D675" i="1"/>
  <c r="D2811" i="1"/>
  <c r="D2498" i="1"/>
  <c r="D1926" i="1"/>
  <c r="D1651" i="1"/>
  <c r="D3925" i="1"/>
  <c r="D2000" i="1"/>
  <c r="D3470" i="1"/>
  <c r="D3365" i="1"/>
  <c r="D2254" i="1"/>
  <c r="D3942" i="1"/>
  <c r="D3251" i="1"/>
  <c r="D2354" i="1"/>
  <c r="D1608" i="1"/>
  <c r="D3682" i="1"/>
  <c r="D111" i="1"/>
  <c r="D3276" i="1"/>
  <c r="D203" i="1"/>
  <c r="D76" i="1"/>
  <c r="D3451" i="1"/>
  <c r="D2390" i="1"/>
  <c r="D1285" i="1"/>
  <c r="D3368" i="1"/>
  <c r="D2356" i="1"/>
  <c r="D3355" i="1"/>
  <c r="D1884" i="1"/>
  <c r="D3152" i="1"/>
  <c r="D2251" i="1"/>
  <c r="D107" i="1"/>
  <c r="D1308" i="1"/>
  <c r="D3499" i="1"/>
  <c r="D2991" i="1"/>
  <c r="D359" i="1"/>
  <c r="D1447" i="1"/>
  <c r="D3869" i="1"/>
  <c r="D1456" i="1"/>
  <c r="D1788" i="1"/>
  <c r="D1721" i="1"/>
  <c r="D3483" i="1"/>
  <c r="D1424" i="1"/>
  <c r="D1375" i="1"/>
  <c r="D82" i="1"/>
  <c r="D1928" i="1"/>
  <c r="D687" i="1"/>
  <c r="D103" i="1"/>
  <c r="D2248" i="1"/>
  <c r="D1646" i="1"/>
  <c r="D1038" i="1"/>
  <c r="D3283" i="1"/>
  <c r="D1144" i="1"/>
  <c r="D3727" i="1"/>
  <c r="D2352" i="1"/>
  <c r="D1943" i="1"/>
  <c r="D1960" i="1"/>
  <c r="D2944" i="1"/>
  <c r="D3669" i="1"/>
  <c r="D3253" i="1"/>
  <c r="D1930" i="1"/>
  <c r="D1108" i="1"/>
  <c r="D354" i="1"/>
  <c r="D20" i="1"/>
  <c r="D3166" i="1"/>
  <c r="D2794" i="1"/>
  <c r="D686" i="1"/>
  <c r="D250" i="1"/>
  <c r="D3493" i="1"/>
  <c r="D3826" i="1"/>
  <c r="D396" i="1"/>
  <c r="D3671" i="1"/>
  <c r="D1222" i="1"/>
  <c r="D3511" i="1"/>
  <c r="D1448" i="1"/>
  <c r="D19" i="1"/>
  <c r="D3631" i="1"/>
  <c r="D1768" i="1"/>
  <c r="D3940" i="1"/>
  <c r="D3641" i="1"/>
  <c r="D3620" i="1"/>
  <c r="D2566" i="1"/>
  <c r="D3842" i="1"/>
  <c r="D2411" i="1"/>
  <c r="D3810" i="1"/>
  <c r="D2422" i="1"/>
  <c r="D464" i="1"/>
  <c r="D3512" i="1"/>
  <c r="D894" i="1"/>
  <c r="D3564" i="1"/>
  <c r="D40" i="1"/>
  <c r="D1901" i="1"/>
  <c r="D3555" i="1"/>
  <c r="D1104" i="1"/>
  <c r="D2024" i="1"/>
  <c r="D349" i="1"/>
  <c r="D3559" i="1"/>
  <c r="D508" i="1"/>
  <c r="D1989" i="1"/>
  <c r="D474" i="1"/>
  <c r="D269" i="1"/>
  <c r="D3474" i="1"/>
  <c r="D1959" i="1"/>
  <c r="D3563" i="1"/>
  <c r="D3946" i="1"/>
  <c r="D574" i="1"/>
  <c r="D347" i="1"/>
  <c r="D2387" i="1"/>
  <c r="D417" i="1"/>
  <c r="D3957" i="1"/>
  <c r="D922" i="1"/>
  <c r="D3125" i="1"/>
  <c r="D3039" i="1"/>
  <c r="D3303" i="1"/>
  <c r="D407" i="1"/>
  <c r="D446" i="1"/>
  <c r="D1451" i="1"/>
  <c r="D3602" i="1"/>
  <c r="D44" i="1"/>
  <c r="D3680" i="1"/>
  <c r="D3527" i="1"/>
  <c r="D1305" i="1"/>
  <c r="D2245" i="1"/>
  <c r="D3153" i="1"/>
  <c r="D2764" i="1"/>
  <c r="D2746" i="1"/>
  <c r="D1642" i="1"/>
  <c r="D1538" i="1"/>
  <c r="D3092" i="1"/>
  <c r="D212" i="1"/>
  <c r="D46" i="1"/>
  <c r="D3401" i="1"/>
  <c r="D1126" i="1"/>
  <c r="D838" i="1"/>
  <c r="D472" i="1"/>
  <c r="D3116" i="1"/>
  <c r="D78" i="1"/>
  <c r="D2266" i="1"/>
  <c r="D3920" i="1"/>
  <c r="D3377" i="1"/>
  <c r="D3864" i="1"/>
  <c r="D181" i="1"/>
  <c r="D653" i="1"/>
  <c r="D3714" i="1"/>
  <c r="D965" i="1"/>
  <c r="D2906" i="1"/>
  <c r="D3243" i="1"/>
  <c r="D3150" i="1"/>
  <c r="D3328" i="1"/>
  <c r="D3877" i="1"/>
  <c r="D2617" i="1"/>
  <c r="D3823" i="1"/>
  <c r="D3673" i="1"/>
  <c r="D2596" i="1"/>
  <c r="D2226" i="1"/>
  <c r="D94" i="1"/>
  <c r="D2421" i="1"/>
  <c r="D3576" i="1"/>
  <c r="D3883" i="1"/>
  <c r="D3949" i="1"/>
  <c r="D1260" i="1"/>
  <c r="D2173" i="1"/>
  <c r="D1762" i="1"/>
  <c r="D2237" i="1"/>
  <c r="D2567" i="1"/>
  <c r="D2718" i="1"/>
  <c r="D1601" i="1"/>
  <c r="D2038" i="1"/>
  <c r="D568" i="1"/>
  <c r="D2574" i="1"/>
  <c r="D654" i="1"/>
  <c r="D2333" i="1"/>
  <c r="D3778" i="1"/>
  <c r="D599" i="1"/>
  <c r="D830" i="1"/>
  <c r="D3524" i="1"/>
  <c r="D1674" i="1"/>
  <c r="D1242" i="1"/>
  <c r="D3350" i="1"/>
  <c r="D3622" i="1"/>
  <c r="D1971" i="1"/>
  <c r="D1898" i="1"/>
  <c r="D2106" i="1"/>
  <c r="D2603" i="1"/>
  <c r="D87" i="1"/>
  <c r="D2964" i="1"/>
  <c r="D3525" i="1"/>
  <c r="D1182" i="1"/>
  <c r="D3510" i="1"/>
  <c r="D3404" i="1"/>
  <c r="D2582" i="1"/>
  <c r="D915" i="1"/>
  <c r="D1105" i="1"/>
  <c r="D3065" i="1"/>
  <c r="D2896" i="1"/>
  <c r="D3556" i="1"/>
  <c r="D3587" i="1"/>
  <c r="D3625" i="1"/>
  <c r="D3212" i="1"/>
  <c r="D3400" i="1"/>
  <c r="D3183" i="1"/>
  <c r="D3664" i="1"/>
  <c r="D2728" i="1"/>
  <c r="D3006" i="1"/>
  <c r="D982" i="1"/>
  <c r="D2211" i="1"/>
  <c r="D2232" i="1"/>
  <c r="D2278" i="1"/>
  <c r="D501" i="1"/>
  <c r="D988" i="1"/>
  <c r="D3919" i="1"/>
  <c r="D813" i="1"/>
  <c r="D974" i="1"/>
  <c r="D1043" i="1"/>
  <c r="D2142" i="1"/>
  <c r="D3817" i="1"/>
  <c r="D2381" i="1"/>
  <c r="D16" i="1"/>
  <c r="D2383" i="1"/>
  <c r="D2720" i="1"/>
  <c r="D627" i="1"/>
  <c r="D2126" i="1"/>
  <c r="D3287" i="1"/>
  <c r="D1406" i="1"/>
  <c r="D1557" i="1"/>
  <c r="D514" i="1"/>
  <c r="D3193" i="1"/>
  <c r="D2382" i="1"/>
  <c r="D1378" i="1"/>
  <c r="D667" i="1"/>
  <c r="D3739" i="1"/>
  <c r="D2809" i="1"/>
  <c r="D2907" i="1"/>
  <c r="D2874" i="1"/>
  <c r="D711" i="1"/>
  <c r="D2092" i="1"/>
  <c r="D3961" i="1"/>
  <c r="D1983" i="1"/>
  <c r="D4021" i="1"/>
  <c r="D2306" i="1"/>
  <c r="D3034" i="1"/>
  <c r="D879" i="1"/>
  <c r="D1454" i="1"/>
  <c r="D1841" i="1"/>
  <c r="D3771" i="1"/>
  <c r="D706" i="1"/>
  <c r="D1167" i="1"/>
  <c r="D2060" i="1"/>
  <c r="D2031" i="1"/>
  <c r="D475" i="1"/>
  <c r="D3051" i="1"/>
  <c r="D2437" i="1"/>
  <c r="D2715" i="1"/>
  <c r="D3974" i="1"/>
  <c r="D3862" i="1"/>
  <c r="D3929" i="1"/>
  <c r="D755" i="1"/>
  <c r="D1304" i="1"/>
  <c r="D294" i="1"/>
  <c r="D3412" i="1"/>
  <c r="D1150" i="1"/>
  <c r="D3613" i="1"/>
  <c r="D2958" i="1"/>
  <c r="D327" i="1"/>
  <c r="D4016" i="1"/>
  <c r="D3019" i="1"/>
  <c r="D1003" i="1"/>
  <c r="D405" i="1"/>
  <c r="D1072" i="1"/>
  <c r="D3110" i="1"/>
  <c r="D469" i="1"/>
  <c r="D3371" i="1"/>
  <c r="D2539" i="1"/>
  <c r="D3757" i="1"/>
  <c r="D2493" i="1"/>
  <c r="D2153" i="1"/>
  <c r="D45" i="1"/>
  <c r="D1770" i="1"/>
  <c r="D65" i="1"/>
  <c r="D2338" i="1"/>
  <c r="D2959" i="1"/>
  <c r="D245" i="1"/>
  <c r="D2130" i="1"/>
  <c r="D1543" i="1"/>
  <c r="D2247" i="1"/>
  <c r="D1128" i="1"/>
  <c r="D1547" i="1"/>
  <c r="D2529" i="1"/>
  <c r="D1338" i="1"/>
  <c r="D661" i="1"/>
  <c r="D1027" i="1"/>
  <c r="D476" i="1"/>
  <c r="D2934" i="1"/>
  <c r="D3423" i="1"/>
  <c r="D164" i="1"/>
  <c r="D468" i="1"/>
  <c r="D3250" i="1"/>
  <c r="D2208" i="1"/>
  <c r="D3005" i="1"/>
  <c r="D175" i="1"/>
  <c r="D171" i="1"/>
  <c r="D3185" i="1"/>
  <c r="D531" i="1"/>
  <c r="D2700" i="1"/>
  <c r="D2707" i="1"/>
  <c r="D2371" i="1"/>
  <c r="D413" i="1"/>
  <c r="D780" i="1"/>
  <c r="D2801" i="1"/>
  <c r="D211" i="1"/>
  <c r="D2519" i="1"/>
  <c r="D198" i="1"/>
  <c r="D1771" i="1"/>
  <c r="D1566" i="1"/>
  <c r="D1168" i="1"/>
  <c r="D2369" i="1"/>
  <c r="D1785" i="1"/>
  <c r="D1232" i="1"/>
  <c r="D891" i="1"/>
  <c r="D2516" i="1"/>
  <c r="D767" i="1"/>
  <c r="D169" i="1"/>
  <c r="D2927" i="1"/>
  <c r="D3231" i="1"/>
  <c r="D416" i="1"/>
  <c r="D1877" i="1"/>
  <c r="D1759" i="1"/>
  <c r="D1051" i="1"/>
  <c r="D2140" i="1"/>
  <c r="D3418" i="1"/>
  <c r="D2608" i="1"/>
  <c r="D92" i="1"/>
  <c r="D215" i="1"/>
  <c r="D3909" i="1"/>
  <c r="D3299" i="1"/>
  <c r="D2419" i="1"/>
  <c r="D2154" i="1"/>
  <c r="D2177" i="1"/>
  <c r="D3089" i="1"/>
  <c r="D2528" i="1"/>
  <c r="D2660" i="1"/>
  <c r="D2979" i="1"/>
  <c r="D1200" i="1"/>
  <c r="D1024" i="1"/>
  <c r="D1235" i="1"/>
  <c r="D3906" i="1"/>
  <c r="D2377" i="1"/>
  <c r="D1815" i="1"/>
  <c r="D1626" i="1"/>
  <c r="D648" i="1"/>
  <c r="D2120" i="1"/>
  <c r="D1933" i="1"/>
  <c r="D3380" i="1"/>
  <c r="D3158" i="1"/>
  <c r="D420" i="1"/>
  <c r="D1896" i="1"/>
  <c r="D1628" i="1"/>
  <c r="D1582" i="1"/>
  <c r="D2733" i="1"/>
  <c r="D414" i="1"/>
  <c r="D305" i="1"/>
  <c r="D784" i="1"/>
  <c r="D2319" i="1"/>
  <c r="D2305" i="1"/>
  <c r="D1594" i="1"/>
  <c r="D5" i="1"/>
  <c r="D2193" i="1"/>
  <c r="D1453" i="1"/>
  <c r="D2307" i="1"/>
  <c r="D2109" i="1"/>
  <c r="D277" i="1"/>
  <c r="D588" i="1"/>
  <c r="D3844" i="1"/>
  <c r="D2872" i="1"/>
  <c r="D2192" i="1"/>
  <c r="D1377" i="1"/>
  <c r="D1159" i="1"/>
  <c r="D1848" i="1"/>
  <c r="D4033" i="1"/>
  <c r="D2533" i="1"/>
  <c r="D1392" i="1"/>
  <c r="D1340" i="1"/>
  <c r="D2180" i="1"/>
  <c r="D295" i="1"/>
  <c r="D2703" i="1"/>
  <c r="D2286" i="1"/>
  <c r="D2156" i="1"/>
  <c r="D1374" i="1"/>
  <c r="D2651" i="1"/>
  <c r="D2459" i="1"/>
  <c r="D1548" i="1"/>
  <c r="D1365" i="1"/>
  <c r="D642" i="1"/>
  <c r="D2553" i="1"/>
  <c r="D389" i="1"/>
  <c r="D2904" i="1"/>
  <c r="D2666" i="1"/>
  <c r="D2521" i="1"/>
  <c r="D2597" i="1"/>
  <c r="D3972" i="1"/>
  <c r="D2649" i="1"/>
  <c r="D1716" i="1"/>
  <c r="D3038" i="1"/>
  <c r="D2702" i="1"/>
  <c r="D1738" i="1"/>
  <c r="D732" i="1"/>
  <c r="D3807" i="1"/>
  <c r="D2745" i="1"/>
  <c r="D946" i="1"/>
  <c r="D427" i="1"/>
  <c r="D393" i="1"/>
  <c r="D947" i="1"/>
  <c r="D519" i="1"/>
  <c r="D3084" i="1"/>
  <c r="D1503" i="1"/>
  <c r="D1196" i="1"/>
  <c r="D1013" i="1"/>
  <c r="D932" i="1"/>
  <c r="D1236" i="1"/>
  <c r="D679" i="1"/>
  <c r="D3058" i="1"/>
  <c r="D2624" i="1"/>
  <c r="D3529" i="1"/>
  <c r="D4031" i="1"/>
  <c r="D3994" i="1"/>
  <c r="D2473" i="1"/>
  <c r="D951" i="1"/>
  <c r="D2471" i="1"/>
  <c r="D798" i="1"/>
  <c r="D1328" i="1"/>
  <c r="D1495" i="1"/>
  <c r="D1491" i="1"/>
  <c r="D3149" i="1"/>
  <c r="D424" i="1"/>
  <c r="D1169" i="1"/>
  <c r="D782" i="1"/>
  <c r="D3002" i="1"/>
  <c r="D4030" i="1"/>
  <c r="D1617" i="1"/>
  <c r="D2999" i="1"/>
  <c r="D1514" i="1"/>
  <c r="D1478" i="1"/>
  <c r="D1518" i="1"/>
  <c r="D2283" i="1"/>
  <c r="D1487" i="1"/>
  <c r="D522" i="1"/>
  <c r="D859" i="1"/>
  <c r="D1083" i="1"/>
  <c r="D1496" i="1"/>
  <c r="D2695" i="1"/>
  <c r="D2825" i="1"/>
  <c r="D3032" i="1"/>
  <c r="D2816" i="1"/>
  <c r="D2632" i="1"/>
  <c r="D3393" i="1"/>
  <c r="D680" i="1"/>
  <c r="D3033" i="1"/>
  <c r="D2035" i="1"/>
  <c r="D343" i="1"/>
  <c r="D3766" i="1"/>
  <c r="D3029" i="1"/>
  <c r="D2549" i="1"/>
  <c r="D3548" i="1"/>
  <c r="D1517" i="1"/>
  <c r="D3629" i="1"/>
  <c r="D3752" i="1"/>
  <c r="D1107" i="1"/>
  <c r="D3866" i="1"/>
  <c r="D2694" i="1"/>
  <c r="D1657" i="1"/>
  <c r="D1274" i="1"/>
  <c r="D1058" i="1"/>
  <c r="D3566" i="1"/>
  <c r="D2692" i="1"/>
  <c r="D3172" i="1"/>
  <c r="D2460" i="1"/>
  <c r="D122" i="1"/>
  <c r="D1723" i="1"/>
  <c r="D1483" i="1"/>
  <c r="D771" i="1"/>
  <c r="D2724" i="1"/>
  <c r="D1966" i="1"/>
  <c r="D2783" i="1"/>
  <c r="D2610" i="1"/>
  <c r="D2412" i="1"/>
  <c r="D1510" i="1"/>
  <c r="D693" i="1"/>
  <c r="D2124" i="1"/>
  <c r="D1397" i="1"/>
  <c r="D2853" i="1"/>
  <c r="D2123" i="1"/>
  <c r="D2499" i="1"/>
  <c r="D298" i="1"/>
  <c r="D1320" i="1"/>
  <c r="D2847" i="1"/>
  <c r="D1470" i="1"/>
  <c r="D962" i="1"/>
  <c r="D12" i="1"/>
  <c r="D1981" i="1"/>
  <c r="D692" i="1"/>
  <c r="D1055" i="1"/>
  <c r="D3224" i="1"/>
  <c r="D865" i="1"/>
  <c r="D973" i="1"/>
  <c r="D1508" i="1"/>
  <c r="D2856" i="1"/>
  <c r="D2557" i="1"/>
  <c r="D694" i="1"/>
  <c r="D406" i="1"/>
  <c r="D2409" i="1"/>
  <c r="D3428" i="1"/>
  <c r="D2554" i="1"/>
  <c r="D49" i="1"/>
  <c r="D1485" i="1"/>
  <c r="D4002" i="1"/>
  <c r="D1197" i="1"/>
  <c r="D1995" i="1"/>
  <c r="D1844" i="1"/>
  <c r="D1407" i="1"/>
  <c r="D1163" i="1"/>
  <c r="D2442" i="1"/>
  <c r="D2030" i="1"/>
  <c r="D1554" i="1"/>
  <c r="D2645" i="1"/>
  <c r="D1545" i="1"/>
  <c r="D3223" i="1"/>
  <c r="D953" i="1"/>
  <c r="D2045" i="1"/>
  <c r="D2469" i="1"/>
  <c r="D2446" i="1"/>
  <c r="D2631" i="1"/>
  <c r="D3200" i="1"/>
  <c r="D2265" i="1"/>
  <c r="D3542" i="1"/>
  <c r="D1185" i="1"/>
  <c r="D3025" i="1"/>
  <c r="D3429" i="1"/>
  <c r="D1473" i="1"/>
  <c r="D3547" i="1"/>
  <c r="D3691" i="1"/>
  <c r="D3873" i="1"/>
  <c r="D153" i="1"/>
  <c r="D744" i="1"/>
  <c r="D2064" i="1"/>
  <c r="D2429" i="1"/>
  <c r="D700" i="1"/>
  <c r="D3179" i="1"/>
  <c r="D3549" i="1"/>
  <c r="D1078" i="1"/>
  <c r="D3594" i="1"/>
  <c r="D2837" i="1"/>
  <c r="D3635" i="1"/>
  <c r="D3028" i="1"/>
  <c r="D2726" i="1"/>
  <c r="D1905" i="1"/>
  <c r="D1509" i="1"/>
  <c r="D1486" i="1"/>
  <c r="D1019" i="1"/>
  <c r="D1475" i="1"/>
  <c r="D1500" i="1"/>
  <c r="D3806" i="1"/>
  <c r="D3611" i="1"/>
  <c r="D1267" i="1"/>
  <c r="D745" i="1"/>
  <c r="D1488" i="1"/>
  <c r="D3993" i="1"/>
  <c r="D3765" i="1"/>
  <c r="D3550" i="1"/>
  <c r="D1504" i="1"/>
  <c r="D165" i="1"/>
  <c r="D155" i="1"/>
  <c r="D3612" i="1"/>
  <c r="D3546" i="1"/>
  <c r="D2477" i="1"/>
  <c r="D2331" i="1"/>
  <c r="D1872" i="1"/>
  <c r="D1711" i="1"/>
  <c r="D2342" i="1"/>
  <c r="D768" i="1"/>
  <c r="D3754" i="1"/>
  <c r="D1823" i="1"/>
  <c r="D3184" i="1"/>
  <c r="D3230" i="1"/>
  <c r="D3780" i="1"/>
  <c r="D927" i="1"/>
  <c r="D2739" i="1"/>
  <c r="D3094" i="1"/>
  <c r="D1914" i="1"/>
  <c r="D3221" i="1"/>
  <c r="D1843" i="1"/>
  <c r="D3242" i="1"/>
  <c r="D1624" i="1"/>
  <c r="D2210" i="1"/>
  <c r="D892" i="1"/>
  <c r="D2261" i="1"/>
  <c r="D2448" i="1"/>
  <c r="D156" i="1"/>
  <c r="D3053" i="1"/>
  <c r="D3885" i="1"/>
  <c r="D1839" i="1"/>
  <c r="D2159" i="1"/>
  <c r="D3614" i="1"/>
  <c r="D3232" i="1"/>
  <c r="D908" i="1"/>
  <c r="D3052" i="1"/>
  <c r="D3196" i="1"/>
  <c r="D3758" i="1"/>
  <c r="D1408" i="1"/>
  <c r="D1158" i="1"/>
  <c r="D1296" i="1"/>
  <c r="D901" i="1"/>
  <c r="D1295" i="1"/>
  <c r="D1336" i="1"/>
  <c r="D2104" i="1"/>
  <c r="D2886" i="1"/>
  <c r="D219" i="1"/>
  <c r="D241" i="1"/>
  <c r="D3859" i="1"/>
  <c r="D2677" i="1"/>
  <c r="D1819" i="1"/>
  <c r="D900" i="1"/>
  <c r="D1100" i="1"/>
  <c r="D2388" i="1"/>
  <c r="D795" i="1"/>
  <c r="D1439" i="1"/>
  <c r="D2592" i="1"/>
  <c r="D1369" i="1"/>
  <c r="D907" i="1"/>
  <c r="D2800" i="1"/>
  <c r="D1881" i="1"/>
  <c r="D1640" i="1"/>
  <c r="D1570" i="1"/>
  <c r="D189" i="1"/>
  <c r="D1125" i="1"/>
  <c r="D909" i="1"/>
  <c r="D2239" i="1"/>
  <c r="D3666" i="1"/>
  <c r="D256" i="1"/>
  <c r="D896" i="1"/>
  <c r="D984" i="1"/>
  <c r="D2107" i="1"/>
  <c r="D3838" i="1"/>
  <c r="D3227" i="1"/>
  <c r="D2151" i="1"/>
  <c r="D2766" i="1"/>
  <c r="D810" i="1"/>
  <c r="D769" i="1"/>
  <c r="D1303" i="1"/>
  <c r="D1889" i="1"/>
  <c r="D3469" i="1"/>
  <c r="D60" i="1"/>
  <c r="D1524" i="1"/>
  <c r="D916" i="1"/>
  <c r="D1780" i="1"/>
  <c r="D766" i="1"/>
  <c r="D1691" i="1"/>
  <c r="D2404" i="1"/>
  <c r="D2049" i="1"/>
  <c r="D3845" i="1"/>
  <c r="D2621" i="1"/>
  <c r="D470" i="1"/>
  <c r="D3912" i="1"/>
  <c r="D1649" i="1"/>
  <c r="D4028" i="1"/>
  <c r="D160" i="1"/>
  <c r="D1782" i="1"/>
  <c r="D3811" i="1"/>
  <c r="D3194" i="1"/>
  <c r="D770" i="1"/>
  <c r="D844" i="1"/>
  <c r="D1284" i="1"/>
  <c r="D1321" i="1"/>
  <c r="D3219" i="1"/>
  <c r="D910" i="1"/>
  <c r="D3858" i="1"/>
  <c r="D3220" i="1"/>
  <c r="D3306" i="1"/>
  <c r="D1915" i="1"/>
  <c r="D2215" i="1"/>
  <c r="D882" i="1"/>
  <c r="D2678" i="1"/>
  <c r="D2675" i="1"/>
  <c r="D2418" i="1"/>
  <c r="D956" i="1"/>
  <c r="D526" i="1"/>
  <c r="D2814" i="1"/>
  <c r="D3314" i="1"/>
  <c r="D228" i="1"/>
  <c r="D2228" i="1"/>
  <c r="D306" i="1"/>
  <c r="D1842" i="1"/>
  <c r="D2351" i="1"/>
  <c r="D1620" i="1"/>
  <c r="D1710" i="1"/>
  <c r="D628" i="1"/>
  <c r="D227" i="1"/>
  <c r="D224" i="1"/>
  <c r="D3846" i="1"/>
  <c r="D3054" i="1"/>
  <c r="D899" i="1"/>
  <c r="D2609" i="1"/>
  <c r="D2023" i="1"/>
  <c r="D1720" i="1"/>
  <c r="D3249" i="1"/>
  <c r="D898" i="1"/>
  <c r="D225" i="1"/>
  <c r="D334" i="1"/>
  <c r="D2740" i="1"/>
  <c r="D2185" i="1"/>
  <c r="D117" i="1"/>
  <c r="D794" i="1"/>
  <c r="D226" i="1"/>
  <c r="D3848" i="1"/>
  <c r="D2175" i="1"/>
  <c r="D969" i="1"/>
  <c r="D3745" i="1"/>
  <c r="D3973" i="1"/>
  <c r="D351" i="1"/>
  <c r="D3096" i="1"/>
  <c r="D2790" i="1"/>
  <c r="D552" i="1"/>
  <c r="D2806" i="1"/>
  <c r="D378" i="1"/>
  <c r="D3674" i="1"/>
  <c r="D1786" i="1"/>
  <c r="D3127" i="1"/>
  <c r="D2903" i="1"/>
  <c r="D1947" i="1"/>
  <c r="D2878" i="1"/>
  <c r="D3696" i="1"/>
  <c r="D2433" i="1"/>
  <c r="D1796" i="1"/>
  <c r="D2867" i="1"/>
  <c r="D144" i="1"/>
  <c r="D825" i="1"/>
  <c r="D331" i="1"/>
  <c r="D1939" i="1"/>
  <c r="D797" i="1"/>
  <c r="D1935" i="1"/>
  <c r="D394" i="1"/>
  <c r="D3085" i="1"/>
  <c r="D3837" i="1"/>
  <c r="D2348" i="1"/>
  <c r="D1887" i="1"/>
  <c r="D1032" i="1"/>
  <c r="D2155" i="1"/>
  <c r="D3881" i="1"/>
  <c r="D1259" i="1"/>
  <c r="D1956" i="1"/>
  <c r="D3595" i="1"/>
  <c r="D1660" i="1"/>
  <c r="D3344" i="1"/>
  <c r="D3346" i="1"/>
  <c r="D3345" i="1"/>
  <c r="D3343" i="1"/>
  <c r="D995" i="1"/>
  <c r="D2812" i="1"/>
  <c r="D355" i="1"/>
  <c r="D3216" i="1"/>
  <c r="D1215" i="1"/>
  <c r="D2683" i="1"/>
  <c r="D3847" i="1"/>
  <c r="D2710" i="1"/>
  <c r="D2795" i="1"/>
  <c r="D663" i="1"/>
  <c r="D3421" i="1"/>
  <c r="D490" i="1"/>
  <c r="D2605" i="1"/>
  <c r="D3357" i="1"/>
  <c r="D332" i="1"/>
  <c r="D643" i="1"/>
  <c r="D2293" i="1"/>
  <c r="D3856" i="1"/>
  <c r="D3690" i="1"/>
  <c r="D3619" i="1"/>
  <c r="D2206" i="1"/>
  <c r="D3104" i="1"/>
  <c r="D2360" i="1"/>
  <c r="D2252" i="1"/>
  <c r="D2763" i="1"/>
  <c r="D3040" i="1"/>
  <c r="D851" i="1"/>
  <c r="D488" i="1"/>
  <c r="D1737" i="1"/>
  <c r="D826" i="1"/>
  <c r="D929" i="1"/>
  <c r="D843" i="1"/>
  <c r="D2137" i="1"/>
  <c r="D3747" i="1"/>
  <c r="D2722" i="1"/>
  <c r="D591" i="1"/>
  <c r="D192" i="1"/>
  <c r="D1220" i="1"/>
  <c r="D1801" i="1"/>
  <c r="D2860" i="1"/>
  <c r="D868" i="1"/>
  <c r="D1689" i="1"/>
  <c r="D523" i="1"/>
  <c r="D2714" i="1"/>
  <c r="D3323" i="1"/>
  <c r="D3420" i="1"/>
  <c r="D320" i="1"/>
  <c r="D1955" i="1"/>
  <c r="D2324" i="1"/>
  <c r="D656" i="1"/>
  <c r="D2967" i="1"/>
  <c r="D2335" i="1"/>
  <c r="D280" i="1"/>
  <c r="D2551" i="1"/>
  <c r="D2358" i="1"/>
  <c r="D1833" i="1"/>
  <c r="D3047" i="1"/>
  <c r="D1875" i="1"/>
  <c r="D143" i="1"/>
  <c r="D2664" i="1"/>
  <c r="D3506" i="1"/>
  <c r="D2810" i="1"/>
  <c r="D2808" i="1"/>
  <c r="D3907" i="1"/>
  <c r="D2008" i="1"/>
  <c r="D145" i="1"/>
  <c r="D2747" i="1"/>
  <c r="D2789" i="1"/>
  <c r="D1438" i="1"/>
  <c r="D1401" i="1"/>
  <c r="D1460" i="1"/>
  <c r="D497" i="1"/>
  <c r="D2337" i="1"/>
  <c r="D2044" i="1"/>
  <c r="D637" i="1"/>
  <c r="D3541" i="1"/>
  <c r="D3554" i="1"/>
  <c r="D1437" i="1"/>
  <c r="D3037" i="1"/>
  <c r="D3979" i="1"/>
  <c r="D904" i="1"/>
  <c r="D2118" i="1"/>
  <c r="D3209" i="1"/>
  <c r="D3382" i="1"/>
  <c r="D3505" i="1"/>
  <c r="D3244" i="1"/>
  <c r="D1459" i="1"/>
  <c r="D1809" i="1"/>
  <c r="D857" i="1"/>
  <c r="D1165" i="1"/>
  <c r="D3643" i="1"/>
  <c r="D2099" i="1"/>
  <c r="D651" i="1"/>
  <c r="D2006" i="1"/>
  <c r="D3958" i="1"/>
  <c r="D3411" i="1"/>
  <c r="D1045" i="1"/>
  <c r="D3998" i="1"/>
  <c r="D1189" i="1"/>
  <c r="D1363" i="1"/>
  <c r="D284" i="1"/>
  <c r="D923" i="1"/>
  <c r="D158" i="1"/>
  <c r="D3208" i="1"/>
  <c r="D1834" i="1"/>
  <c r="D1097" i="1"/>
  <c r="D1932" i="1"/>
  <c r="D2547" i="1"/>
  <c r="D2243" i="1"/>
  <c r="D3078" i="1"/>
  <c r="D2758" i="1"/>
  <c r="D524" i="1"/>
  <c r="D515" i="1"/>
  <c r="D2063" i="1"/>
  <c r="D1147" i="1"/>
  <c r="D2105" i="1"/>
  <c r="D1806" i="1"/>
  <c r="D3444" i="1"/>
  <c r="D3968" i="1"/>
  <c r="D204" i="1"/>
  <c r="D2393" i="1"/>
  <c r="D2322" i="1"/>
  <c r="D1294" i="1"/>
  <c r="D2552" i="1"/>
  <c r="D2792" i="1"/>
  <c r="D2373" i="1"/>
  <c r="D2709" i="1"/>
  <c r="D3781" i="1"/>
  <c r="D525" i="1"/>
  <c r="D2741" i="1"/>
  <c r="D3108" i="1"/>
  <c r="D1355" i="1"/>
  <c r="D3165" i="1"/>
  <c r="D955" i="1"/>
  <c r="D265" i="1"/>
  <c r="D1358" i="1"/>
  <c r="D1961" i="1"/>
  <c r="D1849" i="1"/>
  <c r="D1455" i="1"/>
  <c r="D779" i="1"/>
  <c r="D1832" i="1"/>
  <c r="D928" i="1"/>
  <c r="D1034" i="1"/>
  <c r="D350" i="1"/>
  <c r="D1903" i="1"/>
  <c r="D1298" i="1"/>
  <c r="D1787" i="1"/>
  <c r="D3282" i="1"/>
  <c r="D257" i="1"/>
  <c r="D1297" i="1"/>
  <c r="D2397" i="1"/>
  <c r="D2914" i="1"/>
  <c r="D132" i="1"/>
  <c r="D1999" i="1"/>
  <c r="D1794" i="1"/>
  <c r="D3722" i="1"/>
  <c r="D357" i="1"/>
  <c r="D2996" i="1"/>
  <c r="D2374" i="1"/>
  <c r="D3962" i="1"/>
  <c r="D1838" i="1"/>
  <c r="D2214" i="1"/>
  <c r="D399" i="1"/>
  <c r="D1811" i="1"/>
  <c r="D1793" i="1"/>
  <c r="D1187" i="1"/>
  <c r="D2287" i="1"/>
  <c r="D2546" i="1"/>
  <c r="D2512" i="1"/>
  <c r="D2117" i="1"/>
  <c r="D2770" i="1"/>
  <c r="D1929" i="1"/>
  <c r="D2771" i="1"/>
  <c r="D3933" i="1"/>
  <c r="D3362" i="1"/>
  <c r="D1293" i="1"/>
  <c r="D1250" i="1"/>
  <c r="D368" i="1"/>
  <c r="D239" i="1"/>
  <c r="D748" i="1"/>
  <c r="D889" i="1"/>
  <c r="D2689" i="1"/>
  <c r="D1890" i="1"/>
  <c r="D1527" i="1"/>
  <c r="D3878" i="1"/>
  <c r="D3257" i="1"/>
  <c r="D906" i="1"/>
  <c r="D1276" i="1"/>
  <c r="D2347" i="1"/>
  <c r="D674" i="1"/>
  <c r="D1096" i="1"/>
  <c r="D829" i="1"/>
  <c r="D434" i="1"/>
  <c r="D1005" i="1"/>
  <c r="D4015" i="1"/>
  <c r="D1383" i="1"/>
  <c r="D1403" i="1"/>
  <c r="D1822" i="1"/>
  <c r="D1234" i="1"/>
  <c r="D819" i="1"/>
  <c r="D1593" i="1"/>
  <c r="D2224" i="1"/>
  <c r="D754" i="1"/>
  <c r="D3983" i="1"/>
  <c r="D1880" i="1"/>
  <c r="D1402" i="1"/>
  <c r="D3868" i="1"/>
  <c r="D2563" i="1"/>
  <c r="D177" i="1"/>
  <c r="D2478" i="1"/>
  <c r="D2897" i="1"/>
  <c r="D924" i="1"/>
  <c r="D4032" i="1"/>
  <c r="D3439" i="1"/>
  <c r="D1709" i="1"/>
  <c r="D3598" i="1"/>
  <c r="D2655" i="1"/>
  <c r="D622" i="1"/>
  <c r="D1396" i="1"/>
  <c r="D1855" i="1"/>
  <c r="D625" i="1"/>
  <c r="D495" i="1"/>
  <c r="D1012" i="1"/>
  <c r="D3093" i="1"/>
  <c r="D566" i="1"/>
  <c r="D3498" i="1"/>
  <c r="D1389" i="1"/>
  <c r="D2391" i="1"/>
  <c r="D633" i="1"/>
  <c r="D287" i="1"/>
  <c r="D954" i="1"/>
  <c r="D3812" i="1"/>
  <c r="D2784" i="1"/>
  <c r="D2785" i="1"/>
  <c r="D3568" i="1"/>
  <c r="D4034" i="1"/>
  <c r="D1398" i="1"/>
  <c r="D3424" i="1"/>
  <c r="D3975" i="1"/>
  <c r="D3658" i="1"/>
  <c r="D1028" i="1"/>
  <c r="D173" i="1"/>
  <c r="D833" i="1"/>
  <c r="D174" i="1"/>
  <c r="D1302" i="1"/>
  <c r="D2423" i="1"/>
  <c r="D2238" i="1"/>
  <c r="D3302" i="1"/>
  <c r="D3233" i="1"/>
  <c r="D2394" i="1"/>
  <c r="D2313" i="1"/>
  <c r="D623" i="1"/>
  <c r="D1376" i="1"/>
  <c r="D3425" i="1"/>
  <c r="D1327" i="1"/>
  <c r="D3151" i="1"/>
  <c r="D2779" i="1"/>
</calcChain>
</file>

<file path=xl/sharedStrings.xml><?xml version="1.0" encoding="utf-8"?>
<sst xmlns="http://schemas.openxmlformats.org/spreadsheetml/2006/main" count="8075" uniqueCount="4003">
  <si>
    <t>Title</t>
  </si>
  <si>
    <t>Publisher</t>
  </si>
  <si>
    <t>eISBN</t>
  </si>
  <si>
    <t>BookID</t>
  </si>
  <si>
    <t>Chinese Medical Gynaecology : A Self-Help Guide to Women's Health</t>
  </si>
  <si>
    <t>Jessica Kingsley Publishers</t>
  </si>
  <si>
    <t>Modern Media, Elections and Democracy</t>
  </si>
  <si>
    <t>SAGE Publications</t>
  </si>
  <si>
    <t>Black Coffee in a Coconut Shell : Caste as Lived Experience</t>
  </si>
  <si>
    <t>Connected or Disconnected : The Art of Operating in a Connected World</t>
  </si>
  <si>
    <t>China’s Transformation : The Success Story and the Success Trap</t>
  </si>
  <si>
    <t>Treating Emotional Trauma with Chinese Medicine : Integrated Diagnostic and Treatment Strategies</t>
  </si>
  <si>
    <t>Sepsis : Staging and Potential Future Therapies</t>
  </si>
  <si>
    <t>Morgan &amp; Claypool Life Science Publishers</t>
  </si>
  <si>
    <t>Practical Zen</t>
  </si>
  <si>
    <t>Over the Influence, Second Edition : The Harm Reduction Guide to Controlling Your Drug and Alcohol Use</t>
  </si>
  <si>
    <t>Guilford Publications</t>
  </si>
  <si>
    <t>Can't We Make Moral Judgements?</t>
  </si>
  <si>
    <t>Bloomsbury Publishing Plc</t>
  </si>
  <si>
    <t>Evolution and Conversion : Dialogues on the Origins of Culture</t>
  </si>
  <si>
    <t>Something Different about Dad : How to Live with Your Amazing Asperger Parent</t>
  </si>
  <si>
    <t>From Here to Maternity : Pregnancy and Motherhood on the Autism Spectrum</t>
  </si>
  <si>
    <t>Banish Your Self-Esteem Thief : A Cognitive Behavioural Therapy Workbook on Building Positive Self-Esteem for Young People</t>
  </si>
  <si>
    <t>Psychology</t>
  </si>
  <si>
    <t>Fundamentals of Chinese Fingernail Image Diagnosis (FID)</t>
  </si>
  <si>
    <t>Banjo for Dummies : Book + Online Video and Audio Instruction</t>
  </si>
  <si>
    <t>John Wiley &amp; Sons, Incorporated</t>
  </si>
  <si>
    <t>Promoting Social Justice Through the Scholarship of Teaching and Learning</t>
  </si>
  <si>
    <t>Indiana University Press</t>
  </si>
  <si>
    <t>A Voice from the South : By a Black Woman of the South</t>
  </si>
  <si>
    <t>University of North Carolina at Chapel Hill Library</t>
  </si>
  <si>
    <t>Winston Wallaby Can't Stop Bouncing : What to Do about Hyperactivity in Children Including Those with ADHD, SPD and ASD</t>
  </si>
  <si>
    <t>The Other F Word : How Smart Leaders, Teams, and Entrepreneurs Put Failure to Work</t>
  </si>
  <si>
    <t>Peas and Beans</t>
  </si>
  <si>
    <t>CABI</t>
  </si>
  <si>
    <t>Israel's Way of War : A Strategic and Operational Analysis, 1948-2014</t>
  </si>
  <si>
    <t>McFarland &amp; Company, Incorporated Publishers</t>
  </si>
  <si>
    <t>Osteopathic and Chiropractic Techniques for Manual Therapists : A Comprehensive Guide to Spinal and Peripheral Manipulations</t>
  </si>
  <si>
    <t>How the Art of Medicine Makes the Science More Effective : Becoming the Medicine We Practice</t>
  </si>
  <si>
    <t>The Age of Netflix : Critical Essays on Streaming Media, Digital Delivery and Instant Access</t>
  </si>
  <si>
    <t>E-Learning and the Academic Library : Essays on Innovative Initiatives</t>
  </si>
  <si>
    <t>War and the Media : Essays on News Reporting, Propaganda and Popular Culture</t>
  </si>
  <si>
    <t>Metanoia : A Speculative Ontology of Language, Thinking, and the Brain</t>
  </si>
  <si>
    <t>Superheroines and the Epic Journey : Mythic Themes in Comics, Film and Television</t>
  </si>
  <si>
    <t>Visions of the Future in Comics : International Perspectives</t>
  </si>
  <si>
    <t>The Victorian Bookshelf : An Introduction to 61 Essential Novels</t>
  </si>
  <si>
    <t>Civil War Hospital Newspapers : Histories and Excerpts of Nine Union Publications</t>
  </si>
  <si>
    <t>Drama and Digital Arts Cultures</t>
  </si>
  <si>
    <t>The Ages of the Justice League : Essays on America's Greatest Superheroes in Changing Times</t>
  </si>
  <si>
    <t>Early Modern Art Theory. Visual Culture and Ideology, 1400-1700</t>
  </si>
  <si>
    <t>Diplomica Verlag</t>
  </si>
  <si>
    <t>Music As Multimodal Discourse : Semiotics, Power and Protest</t>
  </si>
  <si>
    <t>The Unity of Music and Dance in World Cultures</t>
  </si>
  <si>
    <t>Indian Placenames in America</t>
  </si>
  <si>
    <t>The Limits of the Land : How the Struggle for the West Bank Shaped the Arab-Israeli Conflict</t>
  </si>
  <si>
    <t>Muslim Women Speak : Of Dreams and Shackles</t>
  </si>
  <si>
    <t>Can I Tell You about Loneliness? : A Guide for Friends, Family and Professionals</t>
  </si>
  <si>
    <t>Yoga Teaching Handbook : A Practical Guide for Yoga Teachers and Trainees</t>
  </si>
  <si>
    <t>Video Games and the Mind : Essays on Cognition, Affect and Emotion</t>
  </si>
  <si>
    <t>Art Therapy Across Cultural and Race Boundaries : Working Against Racism</t>
  </si>
  <si>
    <t>Raising Self-Esteem in Adults : An Eclectic Approach with Art Therapy, CBT and DBT Based Techniques</t>
  </si>
  <si>
    <t>International Sanctions. Macroeconomic effects and retaliation</t>
  </si>
  <si>
    <t>Shakespearean Meanings</t>
  </si>
  <si>
    <t>Princeton University Press</t>
  </si>
  <si>
    <t>Developing as an Educational Leader and Manager</t>
  </si>
  <si>
    <t>Introduction to Quantitative Cell Biology</t>
  </si>
  <si>
    <t>Physics of Elementary Particles</t>
  </si>
  <si>
    <t>Counting Molecules Within Cells</t>
  </si>
  <si>
    <t>Social Work in Context : Theory and Concepts</t>
  </si>
  <si>
    <t>Fuzzy Information Retrieval</t>
  </si>
  <si>
    <t>Morgan &amp; Claypool Publishers</t>
  </si>
  <si>
    <t>Katherine Mansfield and Psychology</t>
  </si>
  <si>
    <t>Edinburgh University Press</t>
  </si>
  <si>
    <t>Wanderwords : Language Migration in American Literature</t>
  </si>
  <si>
    <t>Bloomsbury Academic &amp; Professional</t>
  </si>
  <si>
    <t>Lincoln's Gift from Homer, New York : A Painter, an Editor and a Detective</t>
  </si>
  <si>
    <t>Fundamentals of Quality Control and Improvement</t>
  </si>
  <si>
    <t>Corporate Social Responsibility : Definition, Core Issues, and Recent Developments</t>
  </si>
  <si>
    <t>Students' Right to Speak : The First Amendment in Public Schools</t>
  </si>
  <si>
    <t>The Fourth of July Encyclopedia</t>
  </si>
  <si>
    <t>Unclouded by Longing : Meditations on Autism and Being Present in an Overwhelming World</t>
  </si>
  <si>
    <t>The New Apostolic Reformation : History of a Modern Charismatic Movement</t>
  </si>
  <si>
    <t>Managerial Control of American Workers : Methods and Technology from the 1880s to Today</t>
  </si>
  <si>
    <t>Grief Demystified : An Introduction</t>
  </si>
  <si>
    <t>Watching Communism Fail : A Memoir of Life in the Soviet Union</t>
  </si>
  <si>
    <t>French Cinema--A Critical Filmography : Volume 2, 1940-1958</t>
  </si>
  <si>
    <t>French Cinema--A Critical Filmography : Volume 1, 1929-1939</t>
  </si>
  <si>
    <t>From Sufism to Ahmadiyya : A Muslim Minority Movement in South Asia</t>
  </si>
  <si>
    <t>Europe's Orphan : The Future of the Euro and the Politics of Debt</t>
  </si>
  <si>
    <t>Hip Hop at Europe's Edge : Music, Agency, and Social Change</t>
  </si>
  <si>
    <t>Case Theory in Business and Management : Reinventing Case Study Research</t>
  </si>
  <si>
    <t>100 Ideas for Secondary Teachers: Gifted and Talented</t>
  </si>
  <si>
    <t>Positively Smarter : Science and Strategies for Increasing Happiness, Achievement, and Well-Being</t>
  </si>
  <si>
    <t>Dating after 50 for Dummies</t>
  </si>
  <si>
    <t>A Practical Guide to Happiness in Children and Teens on the Autism Spectrum : A Positive Psychology Approach</t>
  </si>
  <si>
    <t>This Grand Experiment : When Women Entered the Federal Workforce in Civil War-Era Washington, D. C.</t>
  </si>
  <si>
    <t>University of North Carolina Press</t>
  </si>
  <si>
    <t>Mapping Media Responsibility. Contemporary Aspects of Morals, Ethics and Social Discourse</t>
  </si>
  <si>
    <t>101 Inclusive and SEN English Lessons : Fun Activities and Lesson Plans for Children Aged 3 - 11</t>
  </si>
  <si>
    <t>Insomnia: Medical Sleep Disorder &amp; Diagnosis</t>
  </si>
  <si>
    <t>The Molecular Biology of Chronic Heart Failure</t>
  </si>
  <si>
    <t>Decades Behind Bars : A 20-Year Conversation with Men in America's Prisons</t>
  </si>
  <si>
    <t>Facebook Marketing All-In-One for Dummies</t>
  </si>
  <si>
    <t>Bookkeeping for Dummies</t>
  </si>
  <si>
    <t>Bass Guitar for Dummies : Book + Online Video and Audio Instruction</t>
  </si>
  <si>
    <t>The Life of Y : Engaging Millennials as Employees and Consumers</t>
  </si>
  <si>
    <t>Horror in the Heartland : Strange and Gothic Tales from the Midwest</t>
  </si>
  <si>
    <t>Film Censorship in America : A State-By-State History</t>
  </si>
  <si>
    <t>African American Women with Incarcerated Mates : The Psychological and Social Impacts of Mass Imprisonment</t>
  </si>
  <si>
    <t>Against the Panzers : United States Infantry Versus German Tanks, 1944-1945: a History of Eight Battles Told Through Diaries, Unit Histories and Interviews</t>
  </si>
  <si>
    <t>A Multidisciplinary Handbook of Child and Adolescent Mental Health for Front-Line Professionals, Third Edition</t>
  </si>
  <si>
    <t>Revealing the Inner World of Traumatized Children : An Attachment-Informed Model for Assessing Emotional Needs and Treatment</t>
  </si>
  <si>
    <t>Responding to Child to Parent Violence and Abuse : Family Interventions with Non Violent Resistance</t>
  </si>
  <si>
    <t>What Does Consent Really Mean?</t>
  </si>
  <si>
    <t>Coaching College Students with Executive Function Problems</t>
  </si>
  <si>
    <t>Caught in the Web of the Criminal Justice System : Autism, Developmental Disabilities and Sex Offenses</t>
  </si>
  <si>
    <t>Bound for Theresienstadt : Love, Loss and Resistance in a Nazi Concentration Camp</t>
  </si>
  <si>
    <t>Are You a Boy or Are You a Girl?</t>
  </si>
  <si>
    <t>In Search of Soul : Hip-Hop, Literature, and Religion</t>
  </si>
  <si>
    <t>University of California Press</t>
  </si>
  <si>
    <t>God and the Green Divide : Religious Environmentalism in Black and White</t>
  </si>
  <si>
    <t>Hard, Hard Religion : Interracial Faith in the Poor South</t>
  </si>
  <si>
    <t>Religious Freedom : The Contested History of an American Ideal</t>
  </si>
  <si>
    <t>Exploring Moral Injury in Sacred Texts</t>
  </si>
  <si>
    <t>Martin Luther : The Life and Lessons</t>
  </si>
  <si>
    <t>Pseudepigrapha and Christian Origins : Essays from the Studiorum Novi Testamenti Societas</t>
  </si>
  <si>
    <t>Ethics and the Problem of Evil</t>
  </si>
  <si>
    <t>Starting an Online Business All-In-One for Dummies</t>
  </si>
  <si>
    <t>Rapid Perioperative Care</t>
  </si>
  <si>
    <t>Clinical Leadership in Nursing and Healthcare : Values into Action</t>
  </si>
  <si>
    <t>The 10-Minute Clinical Assessment</t>
  </si>
  <si>
    <t>Clinical Examination Skills</t>
  </si>
  <si>
    <t>Person-Centred Practice in Nursing and Health Care : Theory and Practice</t>
  </si>
  <si>
    <t>Respiratory Nursing at a Glance</t>
  </si>
  <si>
    <t>Nursing and Healthcare Research at a Glance</t>
  </si>
  <si>
    <t>Families : A Social Class Perspective</t>
  </si>
  <si>
    <t>Assessing the Common Core : What's Gone Wrong--And How to Get Back on Track</t>
  </si>
  <si>
    <t>The Real School Safety Problem : The Long-Term Consequences of Harsh School Punishment</t>
  </si>
  <si>
    <t>The Big Rig : Trucking and the Decline of the American Dream</t>
  </si>
  <si>
    <t>Math for Real Life : Teaching Practical Uses for Algebra, Geometry and Trigonometry</t>
  </si>
  <si>
    <t>Jack-Rollers and Thieves in 1920s Chicago : A Sociological Study of Delinquency and Gender</t>
  </si>
  <si>
    <t>CBT Strategies for Anxious and Depressed Children and Adolescents : A Clinician's Toolkit</t>
  </si>
  <si>
    <t>Abortion after Roe : Abortion after Legalization</t>
  </si>
  <si>
    <t>Enhancing Health and Wellbeing in Dementia : A Person-Centred Integrated Care Approach</t>
  </si>
  <si>
    <t>Straight Girls and Queer Guys : The Hetero Media Gaze in Film and Television</t>
  </si>
  <si>
    <t>The Intelligent Enterprise in the Era of Big Data</t>
  </si>
  <si>
    <t>Graphic Design in Urban Environments</t>
  </si>
  <si>
    <t>The Prison School : Educational Inequality and School Discipline in the Age of Mass Incarceration</t>
  </si>
  <si>
    <t>The SAGE Handbook of Early Childhood Research</t>
  </si>
  <si>
    <t>Law, Crime and Deviance Since 1700 : Micro-Studies in the History of Crime</t>
  </si>
  <si>
    <t>Mastering Mentorship : A Practical Guide for Mentors of Nursing, Health and Social Care Students</t>
  </si>
  <si>
    <t>End-of-Life Nursing Care</t>
  </si>
  <si>
    <t>Writing Skills in Nursing and Healthcare : A Guide to Completing Successful Dissertations and Theses</t>
  </si>
  <si>
    <t>Medical-Surgical Nursing at a Glance</t>
  </si>
  <si>
    <t>Pathophysiology for Nurses at a Glance</t>
  </si>
  <si>
    <t>Evaluating the Impact of Implementing Evidence-Based Practice</t>
  </si>
  <si>
    <t>The Nature of Heritage : The New South Africa</t>
  </si>
  <si>
    <t>Supporting and Supervising Mid-Level Professionals : New Directions for Student Services, Number 136</t>
  </si>
  <si>
    <t>History and Philosophy of Psychology</t>
  </si>
  <si>
    <t>Real Time Leadership Development</t>
  </si>
  <si>
    <t>Wiley</t>
  </si>
  <si>
    <t>Employee Engagement : Tools for Analysis, Practice, and Competitive Advantage</t>
  </si>
  <si>
    <t>A Concise History of the Haitian Revolution</t>
  </si>
  <si>
    <t>Case Studies in Applied Psychophysiology : Neurofeedback and Biofeedback Treatments for Advances in Human Performance</t>
  </si>
  <si>
    <t>Cyberbullying in the Global Playground : Research from International Perspectives</t>
  </si>
  <si>
    <t>Developing Econometrics</t>
  </si>
  <si>
    <t>Personal Construct Methodology</t>
  </si>
  <si>
    <t>Rethinking the "L" Word in Higher Education : The Revolution of Research on Leadership</t>
  </si>
  <si>
    <t>Intercultural Communication : A Discourse Approach</t>
  </si>
  <si>
    <t>Betty Crocker Cookbook : 1500 Recipes for the Way You Cook Today</t>
  </si>
  <si>
    <t>Learn Marketing with Social Media in 7 Days : Master Facebook, LinkedIn and Twitter for Business</t>
  </si>
  <si>
    <t>John Wiley &amp; Sons Australia, Limited</t>
  </si>
  <si>
    <t>Changing Course : Reinventing Colleges, Avoiding Closure</t>
  </si>
  <si>
    <t>The Spartans : A New History</t>
  </si>
  <si>
    <t>9/11 Culture</t>
  </si>
  <si>
    <t>A Companion to the Roman Republic</t>
  </si>
  <si>
    <t>Basic Elements of Narrative</t>
  </si>
  <si>
    <t>Worlding Cities : Asian Experiments and the Art of Being Global</t>
  </si>
  <si>
    <t>Fashion - Philosophy for Everyone : Thinking with Style</t>
  </si>
  <si>
    <t>Phenomenology for Therapists : Researching the Lived World</t>
  </si>
  <si>
    <t>Eating Disorders and the Brain</t>
  </si>
  <si>
    <t>Frequently Asked Questions in Corporate Finance</t>
  </si>
  <si>
    <t>An Update on Adult Development Theory : New Ways of Thinking about the Life Course</t>
  </si>
  <si>
    <t>The Architecture Student's Handbook of Professional Practice</t>
  </si>
  <si>
    <t>How to Form a Team : Five Keys to High Performance</t>
  </si>
  <si>
    <t>Leadership Wisdom : Discovering the Lessons of Experience</t>
  </si>
  <si>
    <t>Retail Analytics : The Secret Weapon</t>
  </si>
  <si>
    <t>Yoga - Philosophy for Everyone : Bending Mind and Body</t>
  </si>
  <si>
    <t>Dante's Deadly Sins : Moral Philosophy In Hell</t>
  </si>
  <si>
    <t>Pricing Derivatives by Simulation</t>
  </si>
  <si>
    <t>Qualitative Research Methods in Mental Health and Psychotherapy : A Guide for Students and Practitioners</t>
  </si>
  <si>
    <t>Engaging the Online Learner : Activities and Resources for Creative Instruction</t>
  </si>
  <si>
    <t>The Complete Guide to Portfolio Construction and Management</t>
  </si>
  <si>
    <t>Kim Jong-Il, Revised and Updated : Kim Jong-Il: North Koreas Dear Leader, Revised and Updated Edition</t>
  </si>
  <si>
    <t>Self-Confidence : The Remarkable Truth of Why a Small Change Can Make a Big Difference</t>
  </si>
  <si>
    <t>Teach Like a Champion Field Guide : A Practical Resource to Make the 49 Techniques Your Own</t>
  </si>
  <si>
    <t>Collaborate : The Art of We</t>
  </si>
  <si>
    <t>Whistleblowers : Incentives, Disincentives, and Protection Strategies</t>
  </si>
  <si>
    <t>Treating Adolescent Substance Abuse Using Family Behavior Therapy : A Step-By-Step Approach</t>
  </si>
  <si>
    <t>Business Analysis : Best Practices for Success</t>
  </si>
  <si>
    <t>Concepts in Male Health : Perspectives Across the Lifespan</t>
  </si>
  <si>
    <t>Renewal Coaching Fieldbook : How Effective Leaders Sustain Meaningful Change</t>
  </si>
  <si>
    <t>Linking Leadership to Student Learning</t>
  </si>
  <si>
    <t>The Designer's Guide to Doing Research : Applying Knowledge to Inform Design</t>
  </si>
  <si>
    <t>Productive Workplaces : Dignity, Meaning, and Community in the 21st Century</t>
  </si>
  <si>
    <t>Center for Creative Leadership</t>
  </si>
  <si>
    <t>Handbook of Psychotherapy in Cancer Care</t>
  </si>
  <si>
    <t>Psychology in Social Context : Issues and Debates</t>
  </si>
  <si>
    <t>Urban Remote Sensing : Monitoring, Synthesis and Modeling in the Urban Environment</t>
  </si>
  <si>
    <t>Positive Psychology at Work : How Positive Leadership and Appreciative Inquiry Create Inspiring Organizations</t>
  </si>
  <si>
    <t>The Business of Venture Capital : Insights from Leading Practitioners on the Art of Raising a Fund, Deal Structuring, Value Creation, and Exit Strategies</t>
  </si>
  <si>
    <t>Teacher Leadership</t>
  </si>
  <si>
    <t>A Teacher's Guide to Classroom Assessment : Understanding and Using Assessment to Improve Student Learning</t>
  </si>
  <si>
    <t>Comparative Religious Ethics : A Narrative Approach to Global Ethics</t>
  </si>
  <si>
    <t>What You Need to Know about Leadership</t>
  </si>
  <si>
    <t>Book Yourself Solid : The Fastest, Easiest, and Most Reliable System for Getting More Clients Than You Can Handle Even if You Hate Marketing and Selling</t>
  </si>
  <si>
    <t>Resonate : Present Visual Stories That Transform Audiences</t>
  </si>
  <si>
    <t>Improving Teacher Quality : A Guide for Education Leaders</t>
  </si>
  <si>
    <t>Residential Interior Design : A Guide to Planning Spaces</t>
  </si>
  <si>
    <t>This Is Not a Firedrill : Crisis Intervention and Prevention on College Campuses</t>
  </si>
  <si>
    <t>Caste and Race : Comparative Approaches</t>
  </si>
  <si>
    <t>Brief History of the Soul</t>
  </si>
  <si>
    <t>Social Media Strategies for Professionals and Their Firms : The Guide to Establishing Credibility and Accelerating Relationships</t>
  </si>
  <si>
    <t>Betty Crocker Fix-with-a-Mix Desserts</t>
  </si>
  <si>
    <t>Expected Returns : An Investor's Guide to Harvesting Market Rewards</t>
  </si>
  <si>
    <t>Beyond Wealth : The Road Map to a Rich Life</t>
  </si>
  <si>
    <t>The Little Book of Valuation : How to Value a Company, Pick a Stock and Profit</t>
  </si>
  <si>
    <t>Guitar Lessons : A Life's Journey Turning Passion into Business</t>
  </si>
  <si>
    <t>Invest in Penny Stocks : A Guide to Profitable Trading</t>
  </si>
  <si>
    <t>The Forbes / CFA Institute Investment Course : Timeless Principles for Building Wealth</t>
  </si>
  <si>
    <t>Finding #1 Stocks : Screening, Backtesting and Time-Proven Strategies</t>
  </si>
  <si>
    <t>The Executive's Guide to Enterprise Social Media Strategy : How Social Networks Are Radically Transforming Your Business</t>
  </si>
  <si>
    <t>Towards a Jewish-Christian-Muslim Theology</t>
  </si>
  <si>
    <t>Sustainable and Resilient Communities : A Comprehensive Action Plan for Towns, Cities, and Regions</t>
  </si>
  <si>
    <t>Prefab Architecture : A Guide to Modular Design and Construction</t>
  </si>
  <si>
    <t>Research Methods in Forensic Psychology</t>
  </si>
  <si>
    <t>The Good Life of Teaching : An Ethics of Professional Practice</t>
  </si>
  <si>
    <t>The Supplement to a Legal Guide for Student Affairs Professionals</t>
  </si>
  <si>
    <t>101 Weird Ways to Make Money : Cricket Farming, Repossessing Cars, and Other Jobs With Big Upside and Not Much Competition</t>
  </si>
  <si>
    <t>The Five Practices of Exemplary Leadership : Non-Profit</t>
  </si>
  <si>
    <t>Student-Centered Leadership</t>
  </si>
  <si>
    <t>Question Evaluation Methods : Contributing to the Science of Data Quality</t>
  </si>
  <si>
    <t>Ethnobiology</t>
  </si>
  <si>
    <t>Creating Your Strategic Plan : A Workbook for Public and Nonprofit Organizations</t>
  </si>
  <si>
    <t>Investing in Energy : A Primer on the Economics of the Energy Industry</t>
  </si>
  <si>
    <t>Thinking Through Film : Doing Philosophy, Watching Movies</t>
  </si>
  <si>
    <t>This I Believe : Life Lessons</t>
  </si>
  <si>
    <t>The Decision to Trust : How Leaders Create High-Trust Organizations</t>
  </si>
  <si>
    <t>The Innovative University : Changing the DNA of Higher Education from the Inside Out</t>
  </si>
  <si>
    <t>Designing Healthy Communities</t>
  </si>
  <si>
    <t>The Business of Investment Banking : A Comprehensive Overview</t>
  </si>
  <si>
    <t>Forensic Chemistry Handbook</t>
  </si>
  <si>
    <t>Impact Investing : Transforming How We Make Money While Making a Difference</t>
  </si>
  <si>
    <t>Everyone Leads : Building Leadership from the Community Up</t>
  </si>
  <si>
    <t>Saving Higher Education : The Integrated, Competency-Based Three-Year Bachelor's Degree Program</t>
  </si>
  <si>
    <t>Handbook of Health Social Work</t>
  </si>
  <si>
    <t>Bright Not Broken : Gifted Kids, ADHD, and Autism</t>
  </si>
  <si>
    <t>Leading with Soul : An Uncommon Journey of Spirit</t>
  </si>
  <si>
    <t>English Translation and Classical Reception : Towards a New Literary History</t>
  </si>
  <si>
    <t>How Food Made History</t>
  </si>
  <si>
    <t>Smashing Logo Design - The Art of Creating Visual Identities : The Art of Creating Visual Identities</t>
  </si>
  <si>
    <t>John Wiley &amp; Sons</t>
  </si>
  <si>
    <t>Creative People Must Be Stopped : 6 Ways We Kill Innovation (Without Even Trying)</t>
  </si>
  <si>
    <t>Better Homes &amp; Gardens 365 30-Minute Meals</t>
  </si>
  <si>
    <t>Child Psychology and Psychiatry : Frameworks for Practice</t>
  </si>
  <si>
    <t>Thriving and Spirituality among Youth : Research Perspectives and Future Possibilities</t>
  </si>
  <si>
    <t>Resolving Conflicts at Work : Ten Strategies for Everyone on the Job</t>
  </si>
  <si>
    <t>The Book of Road-Tested Activities</t>
  </si>
  <si>
    <t>Smart or Lucky? : How Technology Leaders Turn Chance into Success</t>
  </si>
  <si>
    <t>Programs and Interventions for Maltreated Children and Families at Risk : Clinician's Guide to Evidence-Based Practice</t>
  </si>
  <si>
    <t>Fundamentals of Financial Instruments : An Introduction to Stocks, Bonds, Foreign Exchange, and Derivatives</t>
  </si>
  <si>
    <t>An Introduction to Algorithmic Trading : Basic to Advanced Strategies</t>
  </si>
  <si>
    <t>The EQ Edge : Emotional Intelligence and Your Success</t>
  </si>
  <si>
    <t>Challenging and Emerging Conditions in Emergency Medicine</t>
  </si>
  <si>
    <t>The Scientific American Book of Love, Sex and the Brain : The Neuroscience of How, When, Why and Who We Love</t>
  </si>
  <si>
    <t>Vulnerable Populations in the United States</t>
  </si>
  <si>
    <t>Effective Instruction for STEM Disciplines : From Learning Theory to College Teaching</t>
  </si>
  <si>
    <t>Hollywood Film 1963-1976 : Years of Revolution and Reaction</t>
  </si>
  <si>
    <t>Appreciative Inquiry : Change at the Speed of Imagination</t>
  </si>
  <si>
    <t>The Age of Responsibility : CSR 2. 0 and the New DNA of Business</t>
  </si>
  <si>
    <t>An Introduction to Architectural Theory : 1968 to the Present</t>
  </si>
  <si>
    <t>Valuation Workbook : Step-by-Step Exercises and Tests to Help You Master Valuation</t>
  </si>
  <si>
    <t>The Handbook of Hispanic Sociolinguistics</t>
  </si>
  <si>
    <t>Darwinism and the Divine : Evolutionary Thought and Natural Theology</t>
  </si>
  <si>
    <t>Equine Welfare</t>
  </si>
  <si>
    <t>Designing MLearning : Tapping into the Mobile Revolution for Organizational Performance</t>
  </si>
  <si>
    <t>Playing to Wiin : Nintendo and the Video Game Industry's Greatest Comeback</t>
  </si>
  <si>
    <t>The Crash Course : The Unsustainable Future Of Our Economy, Energy, And Environment</t>
  </si>
  <si>
    <t>The e-Myth Accountant : Why Most Accounting Practices Don't Work and What to Do about It</t>
  </si>
  <si>
    <t>The Handbook for Student Leadership Development</t>
  </si>
  <si>
    <t>Essentials of WMS-IV Assessment</t>
  </si>
  <si>
    <t>Error Reduction in Health Care : A Systems Approach to Improving Patient Safety</t>
  </si>
  <si>
    <t>Leading for Instructional Improvement : How Successful Leaders Develop Teaching and Learning Expertise</t>
  </si>
  <si>
    <t>Beyond Borders : A History of Mexican Migration to the United States</t>
  </si>
  <si>
    <t>Getting Started in Stock Investing and Trading</t>
  </si>
  <si>
    <t>Enhancing Architectural Drawings and Models with Photoshop</t>
  </si>
  <si>
    <t>Beyond Forgiveness : Reflections on Atonement</t>
  </si>
  <si>
    <t>The Social Media Management Handbook : Everything You Need to Know to Get Social Media Working in Your Business</t>
  </si>
  <si>
    <t>Adolescents, Families, and Social Development : How Teens Construct Their Worlds</t>
  </si>
  <si>
    <t>Earn More, Stress Less : How to Attract Wealth Using the Secret Science of Getting Rich Your Practical Guide to Living the Law of Attraction</t>
  </si>
  <si>
    <t>Choosing and Using Statistics : A Biologist's Guide</t>
  </si>
  <si>
    <t>Bartolomé de Las Casas and the Conquest of the Americas</t>
  </si>
  <si>
    <t>Successful Marketing Strategies for Nonprofit Organizations : Winning in the Age of the Elusive Donor</t>
  </si>
  <si>
    <t>Color Drawing : Design Drawing Skills and Techniques for Architects, Landscape Architects, and Interior Designers</t>
  </si>
  <si>
    <t>The Nonprofit Development Companion : A Workbook for Fundraising Success</t>
  </si>
  <si>
    <t>Graphics for Learning : Proven Guidelines for Planning, Designing, and Evaluating Visuals in Training Materials</t>
  </si>
  <si>
    <t>Cultivating the Spirit : How College Can Enhance Students' Inner Lives</t>
  </si>
  <si>
    <t>Fundamentals of Psycholinguistics</t>
  </si>
  <si>
    <t>History of the Cuban Revolution</t>
  </si>
  <si>
    <t>Mission-Based Marketing : Positioning Your Not-For-Profit in an Increasingly Competitive World</t>
  </si>
  <si>
    <t>Complexity Theory and Project Management</t>
  </si>
  <si>
    <t>CSR Strategies : Corporate Social Responsibility for a Competitive Edge in Emerging Markets</t>
  </si>
  <si>
    <t>The Ultimate Harry Potter and Philosophy : Hogwarts for Muggles</t>
  </si>
  <si>
    <t>Community-Based Participatory Research for Health : From Process to Outcomes</t>
  </si>
  <si>
    <t>Evidence-Based Design of Elementary and Secondary Schools : A Responsive Approach to Creating Learning Environments</t>
  </si>
  <si>
    <t>Juvenile Sexual Offending : Causes, Consequences, and Correction</t>
  </si>
  <si>
    <t>MarketPsych : How to Manage Fear and Build Your Investor Identity</t>
  </si>
  <si>
    <t>Handbook of Research on Civic Engagement in Youth</t>
  </si>
  <si>
    <t>Value Investing : Tools and Techniques for Intelligent Investment</t>
  </si>
  <si>
    <t>The Little Book of Behavioral Investing : How Not to Be Your Own Worst Enemy</t>
  </si>
  <si>
    <t>The Wiley-Blackwell Handbook of Childhood Cognitive Development</t>
  </si>
  <si>
    <t>Retirement Income Redesigned : Master Plans for Distribution -- an Adviser's Guide for Funding Boomers' Best Years</t>
  </si>
  <si>
    <t>A History of Autism : Conversations with the Pioneers</t>
  </si>
  <si>
    <t>Sport and Physical Activity for Mental Health</t>
  </si>
  <si>
    <t>Dictionary of Cultural and Critical Theory</t>
  </si>
  <si>
    <t>Unofficial Guide to San Francisco</t>
  </si>
  <si>
    <t>Fundraising Principles and Practice</t>
  </si>
  <si>
    <t>Getting Change Right : How Leaders Transform Organizations from the Inside Out</t>
  </si>
  <si>
    <t>Understanding Religious Ethics</t>
  </si>
  <si>
    <t>Bullying Prevention for Schools : A Step-By-Step Guide to Implementing a Successful Anti-Bullying Program</t>
  </si>
  <si>
    <t>Third Update on Adult Learning Theory : New Directions for Adult and Continuing Education</t>
  </si>
  <si>
    <t>Watergate : A Brief History with Documents</t>
  </si>
  <si>
    <t>The Fantasy Film : Wizards, Wishes, and Wonders</t>
  </si>
  <si>
    <t>Fifty Years of Forensic Science : A Commentary</t>
  </si>
  <si>
    <t>Forensic Psychology and Law</t>
  </si>
  <si>
    <t>Latent Class and Latent Transition Analysis : With Applications in the Social, Behavioral, and Health Sciences</t>
  </si>
  <si>
    <t>Sustainable Development in the USA</t>
  </si>
  <si>
    <t>Behavioural Investing : A Practitioners Guide to Applying Behavioural Finance</t>
  </si>
  <si>
    <t>King Hammurabi of Babylon : A Biography</t>
  </si>
  <si>
    <t>The Islamic Middle East : Tradition and Change</t>
  </si>
  <si>
    <t>Pregnancy and Childbirth : A Cochrane Pocketbook</t>
  </si>
  <si>
    <t>The Psychology of Trading : Tools and Techniques for Minding the Markets</t>
  </si>
  <si>
    <t>Drucker on Leadership : New Lessons from the Father of Modern Management</t>
  </si>
  <si>
    <t>The Perfect Cover Letter</t>
  </si>
  <si>
    <t>Winning at Weight Loss : Proven Strategies Based on Diet, Exercise and Supplements</t>
  </si>
  <si>
    <t>Improving Leadership in Nonprofit Organizations</t>
  </si>
  <si>
    <t>The Improvement Guide : A Practical Approach to Enhancing Organizational Performance</t>
  </si>
  <si>
    <t>The Complete Guide to the Gap Year : The Best Things to Do Between High School and College</t>
  </si>
  <si>
    <t>The Digital Handshake : Seven Proven Strategies to Grow Your Business Using Social Media</t>
  </si>
  <si>
    <t>Basic Statistics : A Primer for the Biomedical Sciences</t>
  </si>
  <si>
    <t>The Earth Transformed : An Introduction to Human Impacts on the Environment</t>
  </si>
  <si>
    <t>The Corporate Culture Survival Guide</t>
  </si>
  <si>
    <t>Teach Yourself VISUALLY Collage and Altered Art : Collage and Altered Art</t>
  </si>
  <si>
    <t>Critical Thinking and Learning</t>
  </si>
  <si>
    <t>Kierkegaard</t>
  </si>
  <si>
    <t>The Trouble with Black Boys : ... and Other Reflections on Race, Equity, and the Future of Public Education</t>
  </si>
  <si>
    <t>The Ethics of Cultural Appropriation</t>
  </si>
  <si>
    <t>The Global Airline Industry</t>
  </si>
  <si>
    <t>Threat of Race : Reflections on Racial Neoliberalism</t>
  </si>
  <si>
    <t>Contemporary Urban Japan : A Sociology of Consumption</t>
  </si>
  <si>
    <t>Public Health Genomics : The Essentials</t>
  </si>
  <si>
    <t>Subliminal Persuasion : Influence and Marketing Secrets They Don't Want You to Know</t>
  </si>
  <si>
    <t>Organizational Psychology : A Scientist-Practitioner Approach</t>
  </si>
  <si>
    <t>Health Behavior and Health Education : Theory, Research, and Practice</t>
  </si>
  <si>
    <t>Cultural Competence in Health Education and Health Promotion</t>
  </si>
  <si>
    <t>The Sioux : The Dakota and Lakota Nations</t>
  </si>
  <si>
    <t>The Normans</t>
  </si>
  <si>
    <t>The Britons</t>
  </si>
  <si>
    <t>The Blackwell Guide to the Philosophy of Education</t>
  </si>
  <si>
    <t>Modernism</t>
  </si>
  <si>
    <t>Lost Geographies of Power</t>
  </si>
  <si>
    <t>Detecting Lies and Deceit : Pitfalls and Opportunities</t>
  </si>
  <si>
    <t>Cultural Appropriation and the Arts</t>
  </si>
  <si>
    <t>A Brief History of the Olympic Games</t>
  </si>
  <si>
    <t>Working Memory and Academic Learning : Assessment and Intervention</t>
  </si>
  <si>
    <t>The Budget-Building Book for Nonprofits : A Step-By-Step Guide for Managers and Boards</t>
  </si>
  <si>
    <t>TKO Hiring! : Ten Knockout Strategies for Recruiting, Interviewing, and Hiring Great People</t>
  </si>
  <si>
    <t>Executive Compensation Best Practices</t>
  </si>
  <si>
    <t>Handbook of Multicultural Assessment : Clinical, Psychological, and Educational Applications</t>
  </si>
  <si>
    <t>Teach Yourself VISUALLY Quilting</t>
  </si>
  <si>
    <t>Why Youth Is Not Wasted on the Young : Immaturity in Human Development</t>
  </si>
  <si>
    <t>Forces for Good : The Six Practices of High-Impact Nonprofits</t>
  </si>
  <si>
    <t>Cost-Effectiveness Analysis in Health : A Practical Approach</t>
  </si>
  <si>
    <t>The Leadership Challenge</t>
  </si>
  <si>
    <t>Hiring Success : The Art and Science of Staffing Assessment and Employee Selection</t>
  </si>
  <si>
    <t>The Five Literacies of Global Leadership : What Authentic Leaders Know and You Need to Find Out</t>
  </si>
  <si>
    <t>Quality by Design : A Clinical Microsystems Approach</t>
  </si>
  <si>
    <t>True North : Discover Your Authentic Leadership</t>
  </si>
  <si>
    <t>The Little Book of Common Sense Investing : The Only Way to Guarantee Your Fair Share of Stock Market Returns</t>
  </si>
  <si>
    <t>Essentials of Assessment with Brief Intelligence Tests</t>
  </si>
  <si>
    <t>The Practice of Leadership : Developing the Next Generation of Leaders</t>
  </si>
  <si>
    <t>Qualitative Research in Health Care</t>
  </si>
  <si>
    <t>Depression and Attempted Suicide in Adolescents</t>
  </si>
  <si>
    <t>Moral Leadership : The Theory and Practice of Power, Judgment and Policy</t>
  </si>
  <si>
    <t>Designing and Conducting Health Surveys : A Comprehensive Guide</t>
  </si>
  <si>
    <t>Complete Book of Intelligence Tests : 500 Exercises to Improve, Upgrade and Enhance Your Mind Strength</t>
  </si>
  <si>
    <t>The Blackwell Guide to Aristotle's Nicomachean Ethics</t>
  </si>
  <si>
    <t>Understanding Financial Management : A Practical Guide</t>
  </si>
  <si>
    <t>Lean Distribution : Applying Lean Manufacturing to Distribution, Logistics, and Supply Chain</t>
  </si>
  <si>
    <t>Entrepreneur and Small Business Problem Solver</t>
  </si>
  <si>
    <t>Quantitative Methods for Finance and Investments</t>
  </si>
  <si>
    <t>Econometric Analysis of Panel Data</t>
  </si>
  <si>
    <t>Valuation : Measuring and Managing the Value of Companies</t>
  </si>
  <si>
    <t>Nonprofit Internet Strategies : Best Practices for Marketing, Communications, and Fundraising Success</t>
  </si>
  <si>
    <t>Russian : A Self-Teaching Guide</t>
  </si>
  <si>
    <t>101 Ways to Make Training Active</t>
  </si>
  <si>
    <t>The Handbook of Women, Psychology, and the Law</t>
  </si>
  <si>
    <t>The Brave New World of EHR : Human Resources in the Digital Age</t>
  </si>
  <si>
    <t>Essentials of WISC-IV Assessment</t>
  </si>
  <si>
    <t>The Millionaire Code : 16 Paths to Wealth Building</t>
  </si>
  <si>
    <t>Special Events : Proven Strategies for Nonprofit Fundraising</t>
  </si>
  <si>
    <t>Overcoming Our Racism : The Journey to Liberation</t>
  </si>
  <si>
    <t>The Leadership Challenge Workbook</t>
  </si>
  <si>
    <t>Professional Perspectives on Fixed Income Portfolio Management</t>
  </si>
  <si>
    <t>The Maverick and His Machine : Thomas Watson, Sr. and the Making of IBM</t>
  </si>
  <si>
    <t>Foundations of Student Affairs Practice : How Philosophy, Theory, and Research Strengthen Educational Outcomes</t>
  </si>
  <si>
    <t>American Dietetic Association : Complete Food and Nutrition Guide</t>
  </si>
  <si>
    <t>School Social Work : Skills and Interventions for Effective Practice</t>
  </si>
  <si>
    <t>Dostoevsky's Notes from Underground</t>
  </si>
  <si>
    <t>John Wiley &amp; Sons, Inc.</t>
  </si>
  <si>
    <t>The Annual Review of Adult Learning and Literacy, Volume 2 : National Center for the Study of Adult Learning and Literacy</t>
  </si>
  <si>
    <t>Beyond the Myths and Magic of Mentoring : How to Facilitate an Effective Mentoring Process</t>
  </si>
  <si>
    <t>The Stock Market Course</t>
  </si>
  <si>
    <t>Wayfaring Strangers : The Musical Voyage from Scotland and Ulster to Appalachia</t>
  </si>
  <si>
    <t>The University of North Carolina Press</t>
  </si>
  <si>
    <t>Belligerent Muse : Five Northern Writers and How They Shaped Our Understanding of the Civil War</t>
  </si>
  <si>
    <t>After the Trail of Tears : The Cherokees' Struggle for Sovereignty, 1839-1880</t>
  </si>
  <si>
    <t>Seasons of Change : Labor, Treaty Rights, and Ojibwe Nationhood</t>
  </si>
  <si>
    <t>Southern Holidays : a Savor the South® cookbook</t>
  </si>
  <si>
    <t>Sweet Potatoes : a Savor the South® cookbook</t>
  </si>
  <si>
    <t>The American Synthetic Organic Chemicals Industry : War and Politics, 1910-1930</t>
  </si>
  <si>
    <t>Bourbon : a Savor the South® cookbook</t>
  </si>
  <si>
    <t>Zero Hunger : Political Culture and Antipoverty Policy in Northeast Brazil</t>
  </si>
  <si>
    <t>Searching for Scientific Womanpower : Technocratic Feminism and the Politics of National Security, 1940-1980</t>
  </si>
  <si>
    <t>Oral History : An Introduction for Students</t>
  </si>
  <si>
    <t>Age of Youth in Argentina : Culture, Politics, and Sexuality from perón to Videla</t>
  </si>
  <si>
    <t>Through the Heart of Dixie : Sherman's March and American Memory</t>
  </si>
  <si>
    <t>Building a Latino Civil Rights Movement : Puerto Ricans, African Americans, and the Pursuit of Racial Justice in New York City</t>
  </si>
  <si>
    <t>Dress Casual : How College Students Redefined American Style</t>
  </si>
  <si>
    <t>This Ain't Chicago : Race, Class, and Regional Identity in the Post-Soul South</t>
  </si>
  <si>
    <t>Myth of Seneca Falls : Memory and the Women's Suffrage Movement, 1848-1898</t>
  </si>
  <si>
    <t>Bringing God to Men : American Military Chaplains and the Vietnam War</t>
  </si>
  <si>
    <t>Rivers of Gold, Lives of Bondage : Governing Through Slavery in Colonial Quito</t>
  </si>
  <si>
    <t>Formation of Candomblé - Vodun History and Ritual in Brazil : Formation of Candomblé: Vodun History and Ritual in Brazil</t>
  </si>
  <si>
    <t>Sino-Soviet Alliance : An International History</t>
  </si>
  <si>
    <t>Worlds the Shawnees Made : Migration and Violence in Early America</t>
  </si>
  <si>
    <t>Muslim American Women on Campus : Undergraduate Social Life and Identity</t>
  </si>
  <si>
    <t>Jim Crow Wisdom : Memory and Identity in Black America Since 1940</t>
  </si>
  <si>
    <t>Seeing Race in Modern America</t>
  </si>
  <si>
    <t>Prostitution, Modernity, and the Making of the Cuban Republic, 1840-1920 : Prostitution, Modernity, and the Making of the Cuban Republic, 1840-1920</t>
  </si>
  <si>
    <t>Eating Puerto Rico : A History of Food, Culture, and Identity</t>
  </si>
  <si>
    <t>Making Freedom : The Underground Railroad and the Politics of Slavery</t>
  </si>
  <si>
    <t>The New Encyclopedia of Southern Culture : Sports and Recreation</t>
  </si>
  <si>
    <t>The New Encyclopedia of Southern Culture : Volume 14: Folklife</t>
  </si>
  <si>
    <t>The New Encyclopedia of Southern Culture : Volume 13: Gender</t>
  </si>
  <si>
    <t>Agriculture and Industry : Agriculture and Industry</t>
  </si>
  <si>
    <t>The New Encyclopedia of Southern Culture : Volume 12: Music</t>
  </si>
  <si>
    <t>The New Encyclopedia of Southern Culture : Volume 10: Law and Politics</t>
  </si>
  <si>
    <t>The New Encyclopedia of Southern Culture : Volume 9: Literature</t>
  </si>
  <si>
    <t>The New Encyclopedia of Southern Culture : Volume 8: Environment</t>
  </si>
  <si>
    <t>The New Encyclopedia of Southern Culture : Volume 7: Foodways</t>
  </si>
  <si>
    <t>The New Encyclopedia of Southern Culture : Volume 6: Ethnicity</t>
  </si>
  <si>
    <t>The New Encyclopedia of Southern Culture : Volume 5: Language</t>
  </si>
  <si>
    <t>Myth, Manners, and Memory : Myth, Manners, and Memory</t>
  </si>
  <si>
    <t>New Encyclopedia of Southern Culture : History</t>
  </si>
  <si>
    <t>Crisis of Community : The Trials and Transformation of a New England Town, 1815-1848</t>
  </si>
  <si>
    <t>Capitalism and Slavery</t>
  </si>
  <si>
    <t>Stories of the South : Race and the Reconstruction of Southern Identity, 1865-1915</t>
  </si>
  <si>
    <t>The Red Atlantic : American Indigenes and the Making of the Modern World, 1000-1927</t>
  </si>
  <si>
    <t>Indicted South : Public Criticism, Southern Inferiority, and the Politics of Whiteness</t>
  </si>
  <si>
    <t>Soul Food : The Surprising Story of an American Cuisine, One Plate at a Time</t>
  </si>
  <si>
    <t>Freedom : A Documentary History of Emancipation, 1861-1867</t>
  </si>
  <si>
    <t>Latin American Street Food : The Best Flavors of Markets, Beaches, and Roadside Stands from Mexico to Argentina</t>
  </si>
  <si>
    <t>From Brown to Meredith : The Long Struggle for School Desegregation in Louisville, Kentucky, 1954-2007</t>
  </si>
  <si>
    <t>New Encyclopedia of Southern Culture : Folk Art</t>
  </si>
  <si>
    <t>James J. Kilpatrick : Salesman for Segregation</t>
  </si>
  <si>
    <t>Native and National in Brazil : Indigeneity after Independence</t>
  </si>
  <si>
    <t>Field Guide to Gettysburg : Experiencing the Battlefield through Its History, Places, and People</t>
  </si>
  <si>
    <t>Creating a Common Table in Twentieth-Century Argentina : Dona Petrona, Women, and Food</t>
  </si>
  <si>
    <t>New Encyclopedia of Southern Culture : Volume 21: Art and Architecture</t>
  </si>
  <si>
    <t>Slang and Sociability : In-Group Language Among College Students</t>
  </si>
  <si>
    <t>Double : A Psychoanalytic Study</t>
  </si>
  <si>
    <t>Thomas Nast : The Father of Modern Political Cartoons</t>
  </si>
  <si>
    <t>New Encyclopedia of Southern Culture : Volume 22: Science and Medicine</t>
  </si>
  <si>
    <t>When We Were Free to Be : Looking Back at a Children's Classic and the Difference It Made</t>
  </si>
  <si>
    <t>The Strange Career of Porgy and Bess : Race, Culture, and America's Most Famous Opera</t>
  </si>
  <si>
    <t>The Life of Toussaint l'Ouverture, the Negro Patriot of Hayti : Comprising an Account of the Struggle for Liberty in the Island, and a Sketch of Its History to the Present Period</t>
  </si>
  <si>
    <t>Fifty Years in Chains : Or, the Life of an American Slave</t>
  </si>
  <si>
    <t>Harriet, the Moses of Her People</t>
  </si>
  <si>
    <t>Southern Cultures : Volume 19:  Number 2 – Summer 2013 Issue</t>
  </si>
  <si>
    <t>American Night : The Literary Left in the Era of the Cold War</t>
  </si>
  <si>
    <t>Colonial Entanglement : Constituting a Twenty-First-Century Osage Nation</t>
  </si>
  <si>
    <t>Doctoring Freedom : The Politics of African American Medical Care in Slavery and Emancipation</t>
  </si>
  <si>
    <t>One World, Big Screen : Hollywood, the Allies, and World War II</t>
  </si>
  <si>
    <t>True Image : Gravestone Art and the Culture of Scotch Irish Settlers in the Pennsylvania and Carolina Backcountry</t>
  </si>
  <si>
    <t>Southern Cultures : The Special Issue on Food:Volume 18:  Number 2 – Summer 2012 Issue</t>
  </si>
  <si>
    <t>The Fire of Freedom : Abraham Galloway and the Slaves' Civil War</t>
  </si>
  <si>
    <t>The Dynamic Decade : Creating the Sustainable Campus for the University of North Carolina at Chapel Hill, 2001-2011</t>
  </si>
  <si>
    <t>A Reforming People : Puritanism and the Transformation of Public Life in New England</t>
  </si>
  <si>
    <t>Rivers and the Power of Ancient Rome</t>
  </si>
  <si>
    <t>Jean Anderson's Preserving Guide : How to Pickle and Preserve, Can and Freeze, Dry and Store Vegetables and Fruits</t>
  </si>
  <si>
    <t>Colors of Confinement : Rare Kodachrome Photographs of Japanese American Incarceration in World War II</t>
  </si>
  <si>
    <t>History of the Oratorio : Vol. 4: The Oratorio in the Nineteenth and Twentieth Centuries</t>
  </si>
  <si>
    <t>View from the Masthead : Maritime Imagination and Antebellum American Sea Narratives</t>
  </si>
  <si>
    <t>Pauline Elizabeth Hopkins : Black Daughter of the Revolution</t>
  </si>
  <si>
    <t>AIDS Pandemic in Latin America</t>
  </si>
  <si>
    <t>On Becoming Cuban : Identity, Nationality, and Culture</t>
  </si>
  <si>
    <t>Lillian Wald : A Biography</t>
  </si>
  <si>
    <t>Cape Hatteras Lighthouse : Sentinel of the Shoals</t>
  </si>
  <si>
    <t>The New Encyclopedia of Southern Culture : Volume 19: Violence</t>
  </si>
  <si>
    <t>Building Houses out of Chicken Legs : Black Women, Food, and Power</t>
  </si>
  <si>
    <t>Radio Free Dixie : Robert F. Williams and the Roots of Black Power</t>
  </si>
  <si>
    <t>Recreating Africa : Culture, Kinship, and Religion in the African-Portuguese World, 1441-1770</t>
  </si>
  <si>
    <t>History of the Oratorio : Vol. 3: the Oratorio in the Classical Era</t>
  </si>
  <si>
    <t>Contempt and Pity : Social Policy and the Image of the Damaged Black Psyche, 1880-1996</t>
  </si>
  <si>
    <t>Theory of Craft : Function and Aesthetic Expression</t>
  </si>
  <si>
    <t>Feeling for Books : The Book-of-the-Month Club, Literary Taste, and Middle-Class Desire</t>
  </si>
  <si>
    <t>Delinquent Daughters : Protecting and Policing Adolescent Female Sexuality in the United States, 1885-1920</t>
  </si>
  <si>
    <t>The Girl on the Magazine Cover : The Origins of Visual Stereotypes in American Mass Media</t>
  </si>
  <si>
    <t>Classical Rhetoric and Its Christian and Secular Tradition from Ancient to Modern Times</t>
  </si>
  <si>
    <t>Boston Against Busing : Race, Class, and Ethnicity in the 1960s And 1970s</t>
  </si>
  <si>
    <t>The Joy of Teaching : A Practical Guide for New College Instructors</t>
  </si>
  <si>
    <t>A Nation for All : Race, Inequality, and Politics in Twentieth-Century Cuba</t>
  </si>
  <si>
    <t>Chicago's New Negroes : Modernity, the Great Migration, and Black Urban Life</t>
  </si>
  <si>
    <t>Working-Class War : American Combat Soldiers and Vietnam</t>
  </si>
  <si>
    <t>Channels of Discourse, Reassembled : Television and Contemporary Criticism</t>
  </si>
  <si>
    <t>The New Encyclopedia of Southern Culture : Volume 2: Geography</t>
  </si>
  <si>
    <t>A History of the Book in America : Volume 3: the Industrial Book, 1840-1880</t>
  </si>
  <si>
    <t>The New Encyclopedia of Southern Culture : Volume 20: Social Class</t>
  </si>
  <si>
    <t>Crossroads at Clarksdale : The Black Freedom Struggle in the Mississippi Delta after World War II</t>
  </si>
  <si>
    <t>Memories of Conquest : Becoming Mexicano in Colonial Guatemala</t>
  </si>
  <si>
    <t>Commonsense Anticommunism : Labor and Civil Liberties Between the World Wars</t>
  </si>
  <si>
    <t>Crabgrass Crucible : Suburban Nature and the Rise of Environmentalism in Twentieth-Century America</t>
  </si>
  <si>
    <t>Chinese Mexicans : Transpacific Migration and the Search for a Homeland, 1910-1960</t>
  </si>
  <si>
    <t>Help Me to Find My People : The African American Search for Family Lost in Slavery</t>
  </si>
  <si>
    <t>Chemno and the Holocaust : The History of Hitler's First Death Camp</t>
  </si>
  <si>
    <t>Princess Noire : The Tumultuous Reign of Nina Simone</t>
  </si>
  <si>
    <t>Sexual Revolutions in Cuba : Passion, Politics, and Memory</t>
  </si>
  <si>
    <t>Forging Diaspora : Afro-Cubans and African Americans in a World of Empire and Jim Crow</t>
  </si>
  <si>
    <t>Tropical Babylons : Sugar and the Making of the Atlantic World, 1450-1680</t>
  </si>
  <si>
    <t>Himmler's Auxiliaries : The Volksdeutsche Mittelstelle and the German National Minorities of Europe, 1933-1945</t>
  </si>
  <si>
    <t>Sustaining the Cherokee Family : Kinship and the Allotment of an Indigenous Nation</t>
  </si>
  <si>
    <t>The Antietam Campaign</t>
  </si>
  <si>
    <t>Death Blow to Jim Crow : The National Negro Congress and the Rise of Militant Civil Rights</t>
  </si>
  <si>
    <t>John Tyler, the Accidental President</t>
  </si>
  <si>
    <t>War! What Is It Good For? : Black Freedom Struggles and the U. S. Military from World War II to Iraq</t>
  </si>
  <si>
    <t>Integrating Schools in a Changing Society : New Policies and Legal Options for a Multiracial Generation</t>
  </si>
  <si>
    <t>In the Cause of Freedom : Radical Black Internationalism from Harlem to London, 1917-1939</t>
  </si>
  <si>
    <t>Out on Assignment : Newspaper Women and the Making of Modern Public Space</t>
  </si>
  <si>
    <t>Sweet Tea : Black Gay Men of the South</t>
  </si>
  <si>
    <t>Allende's Chile and the Inter-American Cold War</t>
  </si>
  <si>
    <t>The New Encyclopedia of Southern Culture : Volume 18: Media</t>
  </si>
  <si>
    <t>Imagining the Middle East : The Building of an American Foreign Policy, 1918-1967</t>
  </si>
  <si>
    <t>Ecological Revolutions : Nature, Gender, and Science in New England</t>
  </si>
  <si>
    <t>Gettysburg : The First Day</t>
  </si>
  <si>
    <t>Politics of Fashion in Eighteenth-Century America</t>
  </si>
  <si>
    <t>Nationalism in Europe and America : Politics, Cultures, and Identities since 1775</t>
  </si>
  <si>
    <t>Unprotected Labor : Household Workers, Politics, and Middle-Class Reform in New York, 1870-1940</t>
  </si>
  <si>
    <t>Soldiering in the Army of Northern Virginia : A Statistical Portrait of the Troops Who Served under Robert E. Lee</t>
  </si>
  <si>
    <t>Beyond Blackface : African Americans and the Creation of American Popular Culture, 1890-1930</t>
  </si>
  <si>
    <t>The African American Roots of Modernism : From Reconstruction to the Harlem Renaissance</t>
  </si>
  <si>
    <t>Terms of Inclusion : Black Intellectuals in Twentieth-Century Brazil</t>
  </si>
  <si>
    <t>My Desire for History : Essays in Gay, Community, and Labor History</t>
  </si>
  <si>
    <t>The Won Cause : Black and White Comradeship in the Grand Army of the Republic</t>
  </si>
  <si>
    <t>Dreaming of Dixie : How the South Was Created in American Popular Culture</t>
  </si>
  <si>
    <t>New Encyclopedia of Southern Culture : Volume 17: Education</t>
  </si>
  <si>
    <t>No Sympathy for the Devil : Christian Pop Music and the Transformation of American Evangelicalism</t>
  </si>
  <si>
    <t>The Tejano Diaspora : Mexican Americanism and Ethnic Politics in Texas and Wisconsin</t>
  </si>
  <si>
    <t>Art of Toshiko Takaezu : In the Language of Silence</t>
  </si>
  <si>
    <t>New Southern Garden Cookbook : Enjoying the Best from Homegrown Gardens, Farmers' Markets, Roadside Stands, and CSA Farm Boxes</t>
  </si>
  <si>
    <t>Fighting Their Own Battles : Mexican Americans, African Americans, and the Struggle for Civil Rights in Texas</t>
  </si>
  <si>
    <t>Living for the City : Migration, Education, and the Rise of the Black Panther Party in Oakland, California</t>
  </si>
  <si>
    <t>Sweatshops at Sea : Merchant Seamen in the World's First Globalized Industry, from 1812 to the Present</t>
  </si>
  <si>
    <t>Lynching and Spectacle : Witnessing Racial Violence in America, 1890-1940</t>
  </si>
  <si>
    <t>Imprisoned in a Luminous Glare : Photography and the African American Freedom Struggle</t>
  </si>
  <si>
    <t>God's Almost Chosen Peoples : A Religious History of the American Civil War</t>
  </si>
  <si>
    <t>Talk with You Like a Woman : African American Women, Justice, and Reform in New York, 1890-1935</t>
  </si>
  <si>
    <t>From Chicaza to Chickasaw : The European Invasion and the Transformation of the Mississippian World, 1540-1715</t>
  </si>
  <si>
    <t>Braceros : Migrant Citizens and Transnational Subjects in the Postwar United States and Mexico</t>
  </si>
  <si>
    <t>Torchbearers of Democracy : African American Soldiers in the World War I Era</t>
  </si>
  <si>
    <t>American Bards : Walt Whitman and Other Unlikely Candidates for National Poet</t>
  </si>
  <si>
    <t>Cooking in Other Women's Kitchens : Domestic Workers in the South,1865-1960</t>
  </si>
  <si>
    <t>Chosen Path : The Ceramic Art of Karen Karnes</t>
  </si>
  <si>
    <t>New Encyclopedia of Southern Culture : Volume 15: Urbanization</t>
  </si>
  <si>
    <t>Real NASCAR : White Lightning, Red Clay, and Big Bill France</t>
  </si>
  <si>
    <t>Christmas in Germany : A Cultural History</t>
  </si>
  <si>
    <t>Brand NFL : Making and Selling America's Favorite Sport</t>
  </si>
  <si>
    <t>An Example for All the Land : Emancipation and the Struggle over Equality in Washington, D. C.</t>
  </si>
  <si>
    <t>Border War : Fighting over Slavery before the Civil War</t>
  </si>
  <si>
    <t>Santa : A Novel of Mexico City</t>
  </si>
  <si>
    <t>NC State Basketball : 100 Years of Innovation</t>
  </si>
  <si>
    <t>Oregon and the Collapse of Illahee : U. S. Empire and the Transformation of an Indigenous World, 1792-1859</t>
  </si>
  <si>
    <t>The Devil and Commodity Fetishism in South America</t>
  </si>
  <si>
    <t>No Higher Law : American Foreign Policy and the Western Hemisphere since 1776</t>
  </si>
  <si>
    <t>Right to Ride : Streetcar Boycotts and African American Citizenship in the Era of Plessy V. Ferguson</t>
  </si>
  <si>
    <t>Living the Revolution : Italian Women's Resistance and Radicalism in New York City, 1880-1945</t>
  </si>
  <si>
    <t>Building a Housewife's Paradise : Gender, Politics, and American Grocery Stores in the Twentieth Century</t>
  </si>
  <si>
    <t>Reading Is My Window : Books and the Art of Reading in Women's Prisons</t>
  </si>
  <si>
    <t>Black Marxism : The Making of the Black Radical Tradition</t>
  </si>
  <si>
    <t>Death Squads or Self-Defense Forces? : How Paramilitary Groups Emerge and Challenge Democracy in Latin America</t>
  </si>
  <si>
    <t>Chaotic Justice : Rethinking African American Literary History</t>
  </si>
  <si>
    <t>Garc'a Márquez : The Man and His Work</t>
  </si>
  <si>
    <t>Lincoln's Proclamation : Emancipation Reconsidered</t>
  </si>
  <si>
    <t>We Have a Religion : The 1920s Pueblo Indian Dance Controversy and American Religious Freedom</t>
  </si>
  <si>
    <t>Terror in the Heart of Freedom : Citizenship, Sexual Violence, and the Meaning of Race in the Postemancipation South</t>
  </si>
  <si>
    <t>Not Alms but Opportunity : The Urban League and the Politics of Racial Uplift, 1910-1950</t>
  </si>
  <si>
    <t>Sex Expression and American Women Writers, 1860-1940</t>
  </si>
  <si>
    <t>Women at the Front : Hospital Workers in Civil War America</t>
  </si>
  <si>
    <t>Nation of Religions : The Politics of Pluralism in Multireligious America</t>
  </si>
  <si>
    <t>Circus Age : Culture and Society under the American Big Top</t>
  </si>
  <si>
    <t>Secrets of Victory : The Office of Censorship and the American Press and Radio in World War II</t>
  </si>
  <si>
    <t>Choice and Coercion : Birth Control, Sterilization, and Abortion in Public Health and Welfare</t>
  </si>
  <si>
    <t>Politics of Knowledge in Premodern Islam : Negotiating Ideology and Religious Inquiry</t>
  </si>
  <si>
    <t>Ella Baker and the Black Freedom Movement : A Radical Democratic Vision</t>
  </si>
  <si>
    <t>Civil War as a Theological Crisis</t>
  </si>
  <si>
    <t>Slavery and Politics in the Early American Republic</t>
  </si>
  <si>
    <t>At America's Gates : Chinese Immigration during the Exclusion Era, 1882-1943</t>
  </si>
  <si>
    <t>From Catharine Beecher to Martha Stewart : A Cultural History of Domestic Advice</t>
  </si>
  <si>
    <t>AIDS Pandemic : Complacency, Injustice, and Unfulfilled Expectations</t>
  </si>
  <si>
    <t>Early Detection : Women, Cancer, and Awareness Campaigns in the Twentieth-Century United States</t>
  </si>
  <si>
    <t>Cold War Holidays : American Tourism in France</t>
  </si>
  <si>
    <t>Pharmacopolitics : Drug Regulation in the United States and Germany</t>
  </si>
  <si>
    <t>Reconstruction of American Liberalism, 1865-1914</t>
  </si>
  <si>
    <t>Closer to Freedom : Enslaved Women and Everyday Resistance in the Plantation South</t>
  </si>
  <si>
    <t>Corn and Capitalism : How a Botanical Bastard Grew to Global Dominance</t>
  </si>
  <si>
    <t>Themes in Religion and American Culture</t>
  </si>
  <si>
    <t>Imagining Vietnam and America : The Making of Postcolonial Vietnam, 1919-1950</t>
  </si>
  <si>
    <t>The Book of Salsa : A Chronicle of Urban Music from the Caribbean to New York City</t>
  </si>
  <si>
    <t>Joining Places : Slave Neighborhoods in the Old South</t>
  </si>
  <si>
    <t>Hitchcock on Hitchcock, Volume 2 : Selected Writings and Interviews</t>
  </si>
  <si>
    <t>2000 Years of Mayan Literature</t>
  </si>
  <si>
    <t>Transmedia Frictions : The Digital, the Arts, and the Humanities</t>
  </si>
  <si>
    <t>A Family Sketch and Other Private Writings</t>
  </si>
  <si>
    <t>From Cuba with Love : Sex and Money in the Twenty-First Century</t>
  </si>
  <si>
    <t>Abrazando el Espíritu : Bracero Families Confront the US-Mexico Border</t>
  </si>
  <si>
    <t>Blind Spot : How Neoliberalism Infiltrated Global Health</t>
  </si>
  <si>
    <t>A Portrait of America : The Demographic Perspective</t>
  </si>
  <si>
    <t>Working Skin : Making Leather, Making a Multicultural Japan</t>
  </si>
  <si>
    <t>Maiden Voyage : The Senzaimaru and the Creation of Modern Sino-Japanese Relations</t>
  </si>
  <si>
    <t>Secrets from the Greek Kitchen : Cooking, Skill, and Everyday Life on an Aegean Island</t>
  </si>
  <si>
    <t>Food in Time and Place : The American Historical Association Companion to Food History</t>
  </si>
  <si>
    <t>California Coastal Access Guide</t>
  </si>
  <si>
    <t>Teaching Big History</t>
  </si>
  <si>
    <t>The Night Malcolm X Spoke at the Oxford Union : A Transatlantic Story of Antiracist Protest</t>
  </si>
  <si>
    <t>Pocket Guide to Analyzing Films</t>
  </si>
  <si>
    <t>School's Out : Gay and Lesbian Teachers in the Classroom</t>
  </si>
  <si>
    <t>Distribution Revolution : Conversations about the Digital Future of Film and Television</t>
  </si>
  <si>
    <t>Body Counts : The Vietnam War and Militarized Refugees</t>
  </si>
  <si>
    <t>Profane : Sacrilegious Expression in a Multicultural Age</t>
  </si>
  <si>
    <t>Illegality, Inc. : Clandestine Migration and the Business of Bordering Europe</t>
  </si>
  <si>
    <t>It's Not Like I'm Poor : How Working Families Make Ends Meet in a Post-Welfare World</t>
  </si>
  <si>
    <t>1995 : The Year the Future Began</t>
  </si>
  <si>
    <t>The Book of Yokai : Mysterious Creatures of Japanese Folklore</t>
  </si>
  <si>
    <t>Funnybooks : The Improbable Glories of the Best American Comic Books</t>
  </si>
  <si>
    <t>Shameless : The Canine and the Feminine in Ancient Greece</t>
  </si>
  <si>
    <t>We Sell Drugs : The Alchemy of US Empire</t>
  </si>
  <si>
    <t>Another Politics : Talking Across Today's Transformative Movements</t>
  </si>
  <si>
    <t>Mining Capitalism : The Relationship Between Corporations and Their Critics</t>
  </si>
  <si>
    <t>Word of Mouth : What We Talk about When We Talk about Food</t>
  </si>
  <si>
    <t>Distant Strangers : How Britain Became Modern</t>
  </si>
  <si>
    <t>Breadlines Knee-Deep in Wheat : Food Assistance in the Great Depression</t>
  </si>
  <si>
    <t>Love, Money, and HIV : Becoming a Modern African Woman in the Age of AIDS</t>
  </si>
  <si>
    <t>Laughter in Ancient Rome : On Joking, Tickling, and Cracking Up</t>
  </si>
  <si>
    <t>Cut Adrift : Families in Insecure Times</t>
  </si>
  <si>
    <t>Star Trek and American Television</t>
  </si>
  <si>
    <t>Savage Dreams : A Journey into the Hidden Wars of the American West</t>
  </si>
  <si>
    <t>Markets and States in Tropical Africa : The Political Basis of Agricultural Policies</t>
  </si>
  <si>
    <t>Film Manifestos and Global Cinema Cultures : A Critical Anthology</t>
  </si>
  <si>
    <t>Romantic Anatomies of Performance</t>
  </si>
  <si>
    <t>Into the Twilight of Sanskrit Court Poetry : The Sena Salon of Bengal and Beyond</t>
  </si>
  <si>
    <t>The Homeric Hymns : A Translation, with Introduction and Notes</t>
  </si>
  <si>
    <t>My Los Angeles : From Urban Restructuring to Regional Urbanization</t>
  </si>
  <si>
    <t>Man and the Word : The Orations of Himerius</t>
  </si>
  <si>
    <t>Sleeping with the Dictionary</t>
  </si>
  <si>
    <t>I Love Artists : New and Selected Poems</t>
  </si>
  <si>
    <t>Composing the Citizen : Music as Public Utility in Third Republic France</t>
  </si>
  <si>
    <t>Cumin, Camels, and Caravans : A Spice Odyssey</t>
  </si>
  <si>
    <t>That Religion in Which All Men Agree : Freemasonry in American Culture</t>
  </si>
  <si>
    <t>Reflections of Amma : Devotees in a Global Embrace</t>
  </si>
  <si>
    <t>Sal Si Puedes (Escape If You Can) : Cesar Chavez and the New American Revolution</t>
  </si>
  <si>
    <t>Thinking Globally : A Global Studies Reader</t>
  </si>
  <si>
    <t>Balancing on a Planet : The Future of Food and Agriculture</t>
  </si>
  <si>
    <t>From Grandmother to Granddaughter : Salvadoran Women's Stories</t>
  </si>
  <si>
    <t>How the Other Half Ate : A History of Working-Class Meals at the Turn of the Century</t>
  </si>
  <si>
    <t>When Mandates Work : Raising Labor Standards at the Local Level</t>
  </si>
  <si>
    <t>Moral Nation : Modern Japan and Narcotics in Global History</t>
  </si>
  <si>
    <t>The Darjeeling Distinction : Labor and Justice on Fair-Trade Tea Plantations in India</t>
  </si>
  <si>
    <t>A History of Modern Tibet : The Storm Clouds Descend, 1955-1957</t>
  </si>
  <si>
    <t>When I Wear My Alligator Boots : Narco-Culture in the U. S. Mexico Borderlands</t>
  </si>
  <si>
    <t>The Tonadilla in Performance : Lyric Comedy in Enlightenment Spain</t>
  </si>
  <si>
    <t>Music, Authorship, and the Book in the First Century of Print</t>
  </si>
  <si>
    <t>The Transplant Imaginary : Mechanical Hearts, Animal Parts, and Moral Thinking in Highly Experimental Science</t>
  </si>
  <si>
    <t>Autobiography of Mark Twain, Volume 2 : The Complete and Authoritative Edition</t>
  </si>
  <si>
    <t>M. K. Gandhi, Attorney at Law : The Man Before the Mahatma</t>
  </si>
  <si>
    <t>Falling Behind : How Rising Inequality Harms the Middle Class</t>
  </si>
  <si>
    <t>The Gods Left First : The Captivity and Repatriation of Japanese POWs in Northeast Asia, 1945-1956</t>
  </si>
  <si>
    <t>So How's the Family? : And Other Essays</t>
  </si>
  <si>
    <t>Beyond the Second Sophistic : Adventures in Greek Postclassicism</t>
  </si>
  <si>
    <t>Playing to Win : Raising Children in a Competitive Culture</t>
  </si>
  <si>
    <t>Hanoi's Road to the Vietnam War, 1954-1965</t>
  </si>
  <si>
    <t>Covert Capital : Landscapes of Denial and the Making of U. S. Empire in the Suburbs of Northern Virginia</t>
  </si>
  <si>
    <t>A Culture of Conspiracy : Apocalyptic Visions in Contemporary America</t>
  </si>
  <si>
    <t>The Noodle Narratives : The Global Rise of an Industrial Food into the Twenty-First Century</t>
  </si>
  <si>
    <t>On Time : Technology and Temporality in Modern Egypt</t>
  </si>
  <si>
    <t>The Activist's Handbook : Winning Social Change in the 21st Century</t>
  </si>
  <si>
    <t>The People Want : A Radical Exploration of the Arab Uprising</t>
  </si>
  <si>
    <t>The Fate of Place : A Philosophical History</t>
  </si>
  <si>
    <t>Creating a Common Polity : Religion, Economy, and Politics in the Making of the Greek Koinon</t>
  </si>
  <si>
    <t>The Fourth Trimester : Understanding, Protecting, and Nurturing an Infant Through the First Three Months</t>
  </si>
  <si>
    <t>Memory for Forgetfulness : August, Beirut 1982</t>
  </si>
  <si>
    <t>Someplace Like America : Tales from the New Great Depression</t>
  </si>
  <si>
    <t>The Persistence of Sentiment : Display and Feeling in Popular Music of The 1970s</t>
  </si>
  <si>
    <t>Receptacle of the Sacred : Illustrated Manuscripts and the Buddhist Book Cult in South Asia</t>
  </si>
  <si>
    <t>Sovereign Feminine : Music and Gender in Eighteenth-Century Germany</t>
  </si>
  <si>
    <t>Mingus Speaks</t>
  </si>
  <si>
    <t>Killer Tapes and Shattered Screens : Video Spectatorship from VHS to File Sharing</t>
  </si>
  <si>
    <t>Sacrificing Soldiers on the National Mall</t>
  </si>
  <si>
    <t>Unfortunately, It Was Paradise : Selected Poems</t>
  </si>
  <si>
    <t>Dear Mark Twain : Letters from His Readers</t>
  </si>
  <si>
    <t>Beyond the Metropolis : Second Cities and Modern Life in Interwar Japan</t>
  </si>
  <si>
    <t>Spider Eaters : A Memoir</t>
  </si>
  <si>
    <t>Skin : A Natural History</t>
  </si>
  <si>
    <t>Life in Crisis : The Ethical Journey of Doctors Without Borders</t>
  </si>
  <si>
    <t>A Poet's Revolution : The Life of Denise Levertov</t>
  </si>
  <si>
    <t>The Selected Poetry of Yehuda Amichai</t>
  </si>
  <si>
    <t>The Other Shore : Essays on Writers and Writing</t>
  </si>
  <si>
    <t>An Archive of Hope : Harvey Milk's Speeches and Writings</t>
  </si>
  <si>
    <t>Neuropsychedelia : The Revival of Hallucinogen Research since the Decade of the Brain</t>
  </si>
  <si>
    <t>Deceit and Denial : The Deadly Politics of Industrial Pollution</t>
  </si>
  <si>
    <t>The Road Out : A Teacher's Odyssey in Poor America</t>
  </si>
  <si>
    <t>New Orleans Suite : Music and Culture in Transition</t>
  </si>
  <si>
    <t>Imaging Disaster : Tokyo and the Visual Culture of Japan's Great Earthquake of 1923</t>
  </si>
  <si>
    <t>Educational Delusions? : Why Choice Can Deepen Inequality and How to Make Schools Fair</t>
  </si>
  <si>
    <t>The Origins of the Lebanese National Idea, 1840-1920 : 1840–1920</t>
  </si>
  <si>
    <t>Everyday Ethics : Voices from the Front Line of Community Psychiatry</t>
  </si>
  <si>
    <t>Hard to Get : 20-Something Women and the Paradox of Sexual Freedom</t>
  </si>
  <si>
    <t>Building Home : Howard F. Ahmanson and the Politics of the American Dream</t>
  </si>
  <si>
    <t>Ian Hamilton Finlay : Selections</t>
  </si>
  <si>
    <t>Fighting Words : Religion, Violence, and the Interpretation of Sacred Texts</t>
  </si>
  <si>
    <t>Arbitraging Japan : Dreams of Capitalism at the End of Finance</t>
  </si>
  <si>
    <t>Late Godard and the Possibilities of Cinema</t>
  </si>
  <si>
    <t>Robert Duncan : The Collected Early Poems and Plays</t>
  </si>
  <si>
    <t>Ride, Boldly Ride : The Evolution of the American Western</t>
  </si>
  <si>
    <t>Ex-Cinema : From a Theory of Experimental Film and Video</t>
  </si>
  <si>
    <t>Damned Lies and Statistics : Untangling Numbers from the Media, Politicians, and Activists</t>
  </si>
  <si>
    <t>Arete : Greek Sports from Ancient Sources</t>
  </si>
  <si>
    <t>The Hakka Cookbook : Chinese Soul Food from Around the World</t>
  </si>
  <si>
    <t>La Cocina Mexicana : Many Cultures, One Cuisine</t>
  </si>
  <si>
    <t>Steep : The Precipitous Rise of the Tea Party</t>
  </si>
  <si>
    <t>Restless Souls : The Making of American Spirituality</t>
  </si>
  <si>
    <t>Lost World of the Golden King : In Search of Ancient Afghanistan</t>
  </si>
  <si>
    <t>Savannas of Our Birth : People, Wildlife, and Change in East Africa</t>
  </si>
  <si>
    <t>Yakuza : Japan's Criminal Underworld</t>
  </si>
  <si>
    <t>From the Soil : The Foundations of Chinese Society</t>
  </si>
  <si>
    <t>Anyuan : Mining China's Revolutionary Tradition</t>
  </si>
  <si>
    <t>Racial Formation in the Twenty-First Century</t>
  </si>
  <si>
    <t>Community-Based Archaeology : Research with, by, and for Indigenous and Local Communities</t>
  </si>
  <si>
    <t>On the Borders of Love and Power : Families and Kinship in the Intercultural American Southwest</t>
  </si>
  <si>
    <t>A People's Guide to Los Angeles</t>
  </si>
  <si>
    <t>The Black Revolution on Campus</t>
  </si>
  <si>
    <t>The Adventures of Ibn Battuta : A Muslim Traveler of the Fourteenth Century</t>
  </si>
  <si>
    <t>Dangerous Pregnancies : Mothers, Disabilities, and Abortion in Modern America</t>
  </si>
  <si>
    <t>Culinary Ephemera : An Illustrated History</t>
  </si>
  <si>
    <t>Radical Light : Alternative Film and Video in the San Francisco Bay Area, 1945-2000</t>
  </si>
  <si>
    <t>Historical Atlas of Washington and Oregon</t>
  </si>
  <si>
    <t>Undercover : Police Surveillance in America</t>
  </si>
  <si>
    <t>Emma Goldman: A Documentary History of the American Years, Volume One</t>
  </si>
  <si>
    <t>To Know Where He Lies : DNA Technology and the Search for Srebrenica's Missing</t>
  </si>
  <si>
    <t>Guantánamo : A Working-Class History Between Empire and Revolution</t>
  </si>
  <si>
    <t>Beyond the Soundtrack : Representing Music in Cinema</t>
  </si>
  <si>
    <t>The Power of the Zoot : Youth Culture and Resistance During World War II</t>
  </si>
  <si>
    <t>Inside Toyland : Working, Shopping, and Social Inequality</t>
  </si>
  <si>
    <t>The Adventures of Tom Sawyer : A Novel</t>
  </si>
  <si>
    <t>The Next American Revolution : Sustainable Activism for the Twenty-First Century</t>
  </si>
  <si>
    <t>From Jeremiad to Jihad : Religion, Violence, and America</t>
  </si>
  <si>
    <t>Pacific Connections : The Making of the U. S. -Canadian Borderlands</t>
  </si>
  <si>
    <t>Blowin' the Blues Away : Performance and Meaning on the New York Jazz Scene</t>
  </si>
  <si>
    <t>Gravesend</t>
  </si>
  <si>
    <t>Government of Paper : The Materiality of Bureaucracy in Urban Pakistan</t>
  </si>
  <si>
    <t>Siegfried Kracauer's American Writings : Essays on Film and Popular Culture</t>
  </si>
  <si>
    <t>Commons</t>
  </si>
  <si>
    <t>Curried Cultures : Globalization, Food, and South Asia</t>
  </si>
  <si>
    <t>The Complete Poems of Tibullus : An en Face Bilingual Edition</t>
  </si>
  <si>
    <t>The Poetics of Slumberland : Animated Spirits and the Animating Spirit</t>
  </si>
  <si>
    <t>The Banjo Clock : Poems</t>
  </si>
  <si>
    <t>From Madrigal to Opera : Monteverdi's Staging of the Self</t>
  </si>
  <si>
    <t>Luigi Russolo, Futurist : Noise, Visual Arts, and the Occult</t>
  </si>
  <si>
    <t>Hound Pound Narrative : Sexual Offender Habilitation and the Anthropology of Therapeutic Intervention</t>
  </si>
  <si>
    <t>RKO Radio Pictures : A Titan Is Born</t>
  </si>
  <si>
    <t>Jack Johnson, Rebel Sojourner : Boxing in the Shadow of the Global Color Line</t>
  </si>
  <si>
    <t>Coffee Life in Japan</t>
  </si>
  <si>
    <t>When Abortion Was a Crime : Women, Medicine, and Law in the United States, 1867-1973</t>
  </si>
  <si>
    <t>Volcanoes of the World : Third Edition</t>
  </si>
  <si>
    <t>Moral Fire : Musical Portraits from America's Fin de Siècle</t>
  </si>
  <si>
    <t>Across Atlantic Ice : The Origin of America's Clovis Culture</t>
  </si>
  <si>
    <t>The Green Leap : A Primer for Conserving Biodiversity in Subdivision Development</t>
  </si>
  <si>
    <t>The Huston Smith Reader</t>
  </si>
  <si>
    <t>I've Got the Light of Freedom : The Organizing Tradition and the Mississippi Freedom Struggle</t>
  </si>
  <si>
    <t>Autobiography of Mark Twain : Volume 1, Reader’s Edition</t>
  </si>
  <si>
    <t>Expectations of Modernity : Myths and Meanings of Urban Life on the Zambian Copperbelt</t>
  </si>
  <si>
    <t>The Dialectical Imagination : A History of the Frankfurt School and the Institute of Social Research, 1923-1950</t>
  </si>
  <si>
    <t>Hollywood 1938 : Motion Pictures' Greatest Year</t>
  </si>
  <si>
    <t>El Cinco de Mayo : An American Tradition</t>
  </si>
  <si>
    <t>States of Delinquency : Race and Science in the Making of California's Juvenile Justice System</t>
  </si>
  <si>
    <t>The Final Leap : Suicide on the Golden Gate Bridge</t>
  </si>
  <si>
    <t>Eating Bitterness : Stories from the Front Lines of China's Great Urban Migration</t>
  </si>
  <si>
    <t>Haj to Utopia : How the Ghadar Movement Charted Global Radicalism and Attempted to Overthrow the British Empire</t>
  </si>
  <si>
    <t>The Snow Lion and the Dragon : China, Tibet, and the Dalai Lama</t>
  </si>
  <si>
    <t>What Is Enlightenment? : Eighteenth-Century Answers and Twentieth-Century Questions</t>
  </si>
  <si>
    <t>The Pilgrim Art : Cultures of Porcelain in World History</t>
  </si>
  <si>
    <t>Reflections on the University of California : From the Free Speech Movement to the Global University</t>
  </si>
  <si>
    <t>Late Beethoven : Music, Thought, Imagination</t>
  </si>
  <si>
    <t>Controlling Corruption</t>
  </si>
  <si>
    <t>The Maternal Factor : Two Paths to Morality</t>
  </si>
  <si>
    <t>The Constant Fire : Beyond the Science vs. Religion Debate</t>
  </si>
  <si>
    <t>The Matter of the Gods : Religion and the Roman Empire</t>
  </si>
  <si>
    <t>Speaking of Jews : Rabbis, Intellectuals, and the Creation of an American Public Identity</t>
  </si>
  <si>
    <t>Gendered Transitions : Mexican Experiences of Immigration</t>
  </si>
  <si>
    <t>The Extended Case Method : Four Countries, Four Decades, Four Great Transformations, and One Theoretical Tradition</t>
  </si>
  <si>
    <t>Subjectivity : Ethnographic Investigations</t>
  </si>
  <si>
    <t>Soccer Empire : The World Cup and the Future of France</t>
  </si>
  <si>
    <t>R's Boat</t>
  </si>
  <si>
    <t>The Indians in American Society : From the Revolutionary War to the Present</t>
  </si>
  <si>
    <t>Writing the Silences</t>
  </si>
  <si>
    <t>Mark Twain : The Adventures of Samuel L. Clemens</t>
  </si>
  <si>
    <t>Why/Why Not</t>
  </si>
  <si>
    <t>Mark Twain's Book of Animals</t>
  </si>
  <si>
    <t>Emma Goldman: A Documentary History of the American Years, Volume Two</t>
  </si>
  <si>
    <t>Gertrude Stein : Selections</t>
  </si>
  <si>
    <t>Moving Viewers : American Film and the Spectator's Experience</t>
  </si>
  <si>
    <t>A Garland of Feminist Reflections : Forty Years of Religious Exploration</t>
  </si>
  <si>
    <t>Longing and Belonging : Parents, Children, and Consumer Culture</t>
  </si>
  <si>
    <t>Herbert Eugene Bolton : Historian of the American Borderlands</t>
  </si>
  <si>
    <t>Between One and One Another</t>
  </si>
  <si>
    <t>The Gentrification of the Mind : Witness to a Lost Imagination</t>
  </si>
  <si>
    <t>Searching for Utopia : Universities and Their Histories</t>
  </si>
  <si>
    <t>Righteous Dopefiend</t>
  </si>
  <si>
    <t>Fabricating Consumers : The Sewing Machine in Modern Japan</t>
  </si>
  <si>
    <t>Enduring Violence : Ladina Women's Lives in Guatemala</t>
  </si>
  <si>
    <t>Deep China : The Moral Life of the Person</t>
  </si>
  <si>
    <t>Dude, You're a Fag : Masculinity and Sexuality in High School</t>
  </si>
  <si>
    <t>Humanitarian Reason : A Moral History of the Present</t>
  </si>
  <si>
    <t>Clark : The Autobiography of Clark Terry</t>
  </si>
  <si>
    <t>The Art of Eating Cookbook : Essential Recipes from the First 25 Years</t>
  </si>
  <si>
    <t>Writing Immigration : Scholars and Journalists in Dialogue</t>
  </si>
  <si>
    <t>Recreating Japanese Men</t>
  </si>
  <si>
    <t>Trade of the Tricks : Inside the Magician's Craft</t>
  </si>
  <si>
    <t>Re-Dressing America's Frontier Past</t>
  </si>
  <si>
    <t>Sex Cells : The Medical Market for Eggs and Sperm</t>
  </si>
  <si>
    <t>Invisible Families : Gay Identities, Relationships, and Motherhood among Black Women</t>
  </si>
  <si>
    <t>Berlin Psychoanalytic : Psychoanalysis and Culture in Weimar Republic Germany and Beyond</t>
  </si>
  <si>
    <t>Caligula : A Biography</t>
  </si>
  <si>
    <t>Birth Models That Work</t>
  </si>
  <si>
    <t>Casualties of Care : Immigration and the Politics of Humanitarianism in France</t>
  </si>
  <si>
    <t>Abandoned in the Heartland : Work, Family, and Living in East St. Louis</t>
  </si>
  <si>
    <t>Pricing Beauty : The Making of a Fashion Model</t>
  </si>
  <si>
    <t>Playing the Farmer : Representations of Rural Life in Vergil's Georgics</t>
  </si>
  <si>
    <t>The Nature of Race : How Scientists Think and Teach about Human Difference</t>
  </si>
  <si>
    <t>Our Dying Planet : An Ecologist's View of the Crisis We Face</t>
  </si>
  <si>
    <t>Disarming Words : Empire and the Seductions of Translation in Egypt</t>
  </si>
  <si>
    <t>Making Chastity Sexy : The Rhetoric of Evangelical Abstinence Campaigns</t>
  </si>
  <si>
    <t>The Gender of Memory : Rural Women and China's Collective Past</t>
  </si>
  <si>
    <t>Wings for Our Courage : Gender, Erudition, and Republican Thought</t>
  </si>
  <si>
    <t>Everett Ruess : His Short Life, Mysterious Death, and Astonishing Afterlife</t>
  </si>
  <si>
    <t>Changing Inequality</t>
  </si>
  <si>
    <t>The Gnat and Other Minor Poems of Virgil</t>
  </si>
  <si>
    <t>The Modern World-System III : The Second Era of Great Expansion of the Capitalist World-Economy, 1730s-1840s</t>
  </si>
  <si>
    <t>The Modern World-System II : Mercantilism and the Consolidation of the European World-Economy, 1600-1750</t>
  </si>
  <si>
    <t>From History to Theory</t>
  </si>
  <si>
    <t>San Francisco in the 1930s : The WPA Guide to the City by the Bay</t>
  </si>
  <si>
    <t>Violette Nozière : A Story of Murder in 1930s Paris</t>
  </si>
  <si>
    <t>The General's Slow Retreat : Chile after Pinochet</t>
  </si>
  <si>
    <t>The Ethics of Sight-Seeing</t>
  </si>
  <si>
    <t>One Nation under AARP : The Fight over Medicare, Social Security, and America's Future</t>
  </si>
  <si>
    <t>The Modern World-System IV : Centrist Liberalism Triumphant, 1789-1914</t>
  </si>
  <si>
    <t>Transforming Terror : Remembering the Soul of the World</t>
  </si>
  <si>
    <t>The School of Rome : Latin Studies and the Origins of Liberal Education</t>
  </si>
  <si>
    <t>From the Indian Ocean to the Mediterranean : The Global Trade Networks of Armenian Merchants from New Julfa</t>
  </si>
  <si>
    <t>Manners and Mischief : Gender, Power, and Etiquette in Japan</t>
  </si>
  <si>
    <t>Venice Incognito : Masks in the Serene Republic</t>
  </si>
  <si>
    <t>German Voices : Memories of Life During Hitler's Third Reich</t>
  </si>
  <si>
    <t>Experimentalism Otherwise : The New York Avant-Garde and Its Limits</t>
  </si>
  <si>
    <t>In Search of Lost Meaning : The New Eastern Europe</t>
  </si>
  <si>
    <t>Metropole</t>
  </si>
  <si>
    <t>Dark Archive</t>
  </si>
  <si>
    <t>The Other West : Latin America from Invasion to Globalization</t>
  </si>
  <si>
    <t>Acting in the Night : Macbeth and the Places of the Civil War</t>
  </si>
  <si>
    <t>Imperial Heights : Dalat and the Making and Undoing of French Indochina</t>
  </si>
  <si>
    <t>Taxing the Poor : Doing Damage to the Truly Disadvantaged</t>
  </si>
  <si>
    <t>Berenike and the Ancient Maritime Spice Route</t>
  </si>
  <si>
    <t>Dreams That Matter : Egyptian Landscapes of the Imagination</t>
  </si>
  <si>
    <t>Balancing Acts : Youth Culture in the Global City</t>
  </si>
  <si>
    <t>Transcendental Studies : A Trilogy</t>
  </si>
  <si>
    <t>From Alexander to Jesus</t>
  </si>
  <si>
    <t>Everyday Writing in the Graeco-Roman East</t>
  </si>
  <si>
    <t>Everyone's a Winner : Life in Our Congratulatory Culture</t>
  </si>
  <si>
    <t>Biography of an Empire : Governing Ottomans in an Age of Revolution</t>
  </si>
  <si>
    <t>Ancestral Leaves : A Family Journey Through Chinese History</t>
  </si>
  <si>
    <t>Food and Fantasy in Early Modern Japan</t>
  </si>
  <si>
    <t>The H. D. Book</t>
  </si>
  <si>
    <t>Coming to Terms with the Nation : Ethnic Classification in Modern China</t>
  </si>
  <si>
    <t>New Philadelphia : An Archaeology of Race in the Heartland</t>
  </si>
  <si>
    <t>Breaking Ranks : Iraq Veterans Speak Out Against the War</t>
  </si>
  <si>
    <t>Colonial Project, National Game : A History of Baseball in Taiwan</t>
  </si>
  <si>
    <t>Mediterraneans : North Africa and Europe in an Age of Migration, C. 1800-1900</t>
  </si>
  <si>
    <t>Society of the Dead : Quita Manaquita and Palo Praise in Cuba</t>
  </si>
  <si>
    <t>Interpreting Music</t>
  </si>
  <si>
    <t>Instant Recess : Building a Fit Nation 10 Minutes at a Time</t>
  </si>
  <si>
    <t>Friendship : Development, Ecology, and Evolution of a Relationship</t>
  </si>
  <si>
    <t>Beirut</t>
  </si>
  <si>
    <t>Peasant and Empire in Christian North Africa</t>
  </si>
  <si>
    <t>Autobiography of Mark Twain : The Complete and Authoritative Edition</t>
  </si>
  <si>
    <t>Primitive Selves : Koreana in the Japanese Colonial Gaze, 1910-1945</t>
  </si>
  <si>
    <t>Cinema, Emergence, and the Films of Satyajit Ray</t>
  </si>
  <si>
    <t>Edward Said : A Legacy of Emancipation and Representation</t>
  </si>
  <si>
    <t>Safe Food : The Politics of Food Safety</t>
  </si>
  <si>
    <t>Absolute Music, Mechanical Reproduction</t>
  </si>
  <si>
    <t>Democratic Insecurities : Violence, Trauma, and Intervention in Haiti</t>
  </si>
  <si>
    <t>Different Drummers : Rhythm and Race in the Americas</t>
  </si>
  <si>
    <t>Ancient Greek Epigrams : Major Poets in Verse Translation</t>
  </si>
  <si>
    <t>The Pastoral Clinic : Addiction and Dispossession along the Rio Grande</t>
  </si>
  <si>
    <t>Hadza : Hunter-Gatherers of Tanzania</t>
  </si>
  <si>
    <t>King of the Court : Bill Russell and the Basketball Revolution</t>
  </si>
  <si>
    <t>Bounded Rationality and Politics</t>
  </si>
  <si>
    <t>How to Succeed in Academics</t>
  </si>
  <si>
    <t>Secret World of Doing Nothing</t>
  </si>
  <si>
    <t>Civic Rights : Democracy and Religion in Ancient Athens</t>
  </si>
  <si>
    <t>At the Jazz Band Ball : Sixty Years on the Jazz Scene</t>
  </si>
  <si>
    <t>Migra! : A History of the U. S. Border Patrol</t>
  </si>
  <si>
    <t>Green Is the Orator</t>
  </si>
  <si>
    <t>Converting Words : Maya in the Age of the Cross</t>
  </si>
  <si>
    <t>Interrupted Life : Experiences of Incarcerated Women in the United States</t>
  </si>
  <si>
    <t>Intermediate College Korean : Taehak Han'gugo Chunggup</t>
  </si>
  <si>
    <t>The Politics of Gender in Colonial Korea : Education, Labor, and Health, 1910-1945</t>
  </si>
  <si>
    <t>Shanghai Splendor : Economic Sentiments and the Making of Modern China, 1843-1949</t>
  </si>
  <si>
    <t>Vietnam 1946 : How the War Began</t>
  </si>
  <si>
    <t>The Frodo Franchise : The Lord of the Rings and Modern Hollywood</t>
  </si>
  <si>
    <t>Dark Green Religion : Nature Spirituality and the Planetary Future</t>
  </si>
  <si>
    <t>Erotic Grotesque Nonsense : The Mass Culture of Japanese Modern Times</t>
  </si>
  <si>
    <t>Free for All : Fixing School Food in America</t>
  </si>
  <si>
    <t>George Gershwin : His Life and Work</t>
  </si>
  <si>
    <t>Women and Evil</t>
  </si>
  <si>
    <t>Ghosts of Futures Past : Spiritualism and the Cultural Politics of Nineteenth-Century America</t>
  </si>
  <si>
    <t>Invisible Storytellers : Voice-Over Narration in American Fiction Film</t>
  </si>
  <si>
    <t>Replenished Ethnicity : Mexican Americans, Immigration, and Identity</t>
  </si>
  <si>
    <t>Spectacle of Deformity : Freak Shows and Modern British Culture</t>
  </si>
  <si>
    <t>Beyond Belief : Essays on Religion in a Post-Traditionalist World</t>
  </si>
  <si>
    <t>Digging : The Afro-American Soul of American Classical Music</t>
  </si>
  <si>
    <t>Ghosts of Home : The Afterlife of Czernowitz in Jewish Memory</t>
  </si>
  <si>
    <t>Cheap Meat : Flap Food Nations in the Pacific Islands</t>
  </si>
  <si>
    <t>The Decline of Sentiment : American Film in the 1920s</t>
  </si>
  <si>
    <t>Arranging the Meal : A History of Table Service in France</t>
  </si>
  <si>
    <t>The Works of John Dryden : Plays - All for Love, Oedipus, Troilus and Cressida</t>
  </si>
  <si>
    <t>Taking Charge of Breast Cancer</t>
  </si>
  <si>
    <t>Surrogate Motherhood and the Politics of Reproduction</t>
  </si>
  <si>
    <t>Fundamentals of the Stem Cell Debate : The Scientific, Religious, Ethical, and Political Issues</t>
  </si>
  <si>
    <t>Soul Hunters : Hunting, Animism, and Personhood among the Siberian Yukaghirs</t>
  </si>
  <si>
    <t>Peasant Pasts : History and Memory in Western India</t>
  </si>
  <si>
    <t>The Animated Man : A Life of Walt Disney</t>
  </si>
  <si>
    <t>Global Outlaws : Crime, Money, and Power In the Contemporary World</t>
  </si>
  <si>
    <t>Anna Halprin : Experience as Dance</t>
  </si>
  <si>
    <t>Origins of Democracy in Ancient Greece</t>
  </si>
  <si>
    <t>How Everyday Products Make People Sick : Toxins at Home and in the Workplace</t>
  </si>
  <si>
    <t>Inescapable Ecologies : A History of Environment, Disease, and Knowledge</t>
  </si>
  <si>
    <t>Signing the Body Poetic : Essays on American Sign Language Literature</t>
  </si>
  <si>
    <t>Millennial Monsters : Japanese Toys and the Global Imagination</t>
  </si>
  <si>
    <t>Janitors, Street Vendors, and Activists : The Lives of Mexican Immigrants in Silicon Valley</t>
  </si>
  <si>
    <t>Critical Cinema 5 : Interviews with Independent Filmmakers</t>
  </si>
  <si>
    <t>The Archaeology of Liberty in an American Capital : Excavations in Annapolis</t>
  </si>
  <si>
    <t>Chinese American Voices : From the Gold Rush to the Present</t>
  </si>
  <si>
    <t>Mexico : The Struggle for Democratic Development</t>
  </si>
  <si>
    <t>Mexican New York : Transnational Lives of New Immigrants</t>
  </si>
  <si>
    <t>A Seat at the Table : Huston Smith in Conversation with Native Americans on Religious Freedom</t>
  </si>
  <si>
    <t>German Modernism : Music and the Arts</t>
  </si>
  <si>
    <t>Women with Mustaches and Men Without Beards : Gender and Sexual Anxieties of Iranian Modernity</t>
  </si>
  <si>
    <t>Together Alone : Personal Relationships in Public Places</t>
  </si>
  <si>
    <t>The China Mystique : Pearl S. Buck, Anna May Wong, Mayling Soong, and the Transformation of American Orientalism</t>
  </si>
  <si>
    <t>Goddesses and the Divine Feminine : A Western Religious History</t>
  </si>
  <si>
    <t>Colonialism in Question : Theory, Knowledge, History</t>
  </si>
  <si>
    <t>Between Warrior Brother and Veiled Sister : Islamic Fundamentalism and the Politics of Patriarchy in Iran</t>
  </si>
  <si>
    <t>American Sexual Character : Sex, Gender, and National Identity in the Kinsey Reports</t>
  </si>
  <si>
    <t>There's Something Happening Here : The New Left, the Klan, and FBI Counterintelligence</t>
  </si>
  <si>
    <t>The Family of Woman : Lesbian Mothers, Their Children, and the Undoing of Gender</t>
  </si>
  <si>
    <t>Songs of Experience : Modern American and European Variations on a Universal Theme</t>
  </si>
  <si>
    <t>!Raza Si! !Guerra No! : Chicano Protest and Patriotism During the Vietnam War Era</t>
  </si>
  <si>
    <t>Modal Subjectivities : Self-Fashioning in the Italian Madrigal</t>
  </si>
  <si>
    <t>Ancient Titicaca : The Evolution of Complex Society in Southern Peru and Northern Bolivia</t>
  </si>
  <si>
    <t>Uncommon Friendship : From Opposite Sides of the Holocaust</t>
  </si>
  <si>
    <t>Buddha Is Hiding : Refugees, Citizenship, the New America</t>
  </si>
  <si>
    <t>Barrio Dreams : Puerto Ricans, Latinos, and the Neoliberal City</t>
  </si>
  <si>
    <t>Landscapes, Gender, and Ritual Space : The Ancient Greek Experience</t>
  </si>
  <si>
    <t>Music in Other Words : Victorian Conversations</t>
  </si>
  <si>
    <t>Stories in the Time of Cholera : Racial Profiling During a Medical Nightmare</t>
  </si>
  <si>
    <t>Promoting Human Wellness : New Frontiers for Research, Practice, and Policy</t>
  </si>
  <si>
    <t>Under the Medical Gaze : Facts and Fictions of Chronic Pain</t>
  </si>
  <si>
    <t>Information and Organizations</t>
  </si>
  <si>
    <t>Why Did They Kill? : Cambodia in the Shadow of Genocide</t>
  </si>
  <si>
    <t>It Did Happen Here : Recollections of Political Repression in America</t>
  </si>
  <si>
    <t>Ronald Reagan the Movie : And Other Episodes in Political Demonology</t>
  </si>
  <si>
    <t>Durable Inequality</t>
  </si>
  <si>
    <t>Nothing about Us Without Us : Disability Oppression and Empowerment</t>
  </si>
  <si>
    <t>Globalization : Culture and Education in the New Millennium</t>
  </si>
  <si>
    <t>Colonial Subjects : Puerto Ricans in a Global Perspective</t>
  </si>
  <si>
    <t>The Near Northwest Side Story : Migration, Displacement, and Puerto Rican Families</t>
  </si>
  <si>
    <t>Images and Empires : Visuality in Colonial and Postcolonial Africa</t>
  </si>
  <si>
    <t>The Trouble with Nature : Sex in Science and Popular Culture</t>
  </si>
  <si>
    <t>Out of Our Minds : Reason and Madness in the Exploration of Central Africa</t>
  </si>
  <si>
    <t>The Fractious Nation? : Unity and Division in Contemporary American Life</t>
  </si>
  <si>
    <t>The Festive State : Race, Ethnicity and Nationalism as Cultural Performance</t>
  </si>
  <si>
    <t>The Silk Weavers of Kyoto : Family and Work in a Changing Traditional Industry</t>
  </si>
  <si>
    <t>Economics</t>
  </si>
  <si>
    <t>Inside the American Couple : New Thinking, New Challenges</t>
  </si>
  <si>
    <t>The Jews of Modern Britain, 1656-2000</t>
  </si>
  <si>
    <t>Race and the Invisible Hand : How White Networks Exclude Black Men from Blue-Collar Jobs</t>
  </si>
  <si>
    <t>Whitewashing Race : The Myth of a Color-Blind Society</t>
  </si>
  <si>
    <t>Recreating Japanese Women, 1600-1945</t>
  </si>
  <si>
    <t>May Her Likes Be Multiplied : Biography and Gender Politics in Egypt</t>
  </si>
  <si>
    <t>Self, Social Structure, and Beliefs : Explorations in Sociology</t>
  </si>
  <si>
    <t>Sites of Violence : Gender and Conflict Zones</t>
  </si>
  <si>
    <t>Citizen Bacchae : Women's Ritual Practice in Ancient Greece</t>
  </si>
  <si>
    <t>Hindu Goddesses : Visions of the Divine Feminine in the Hindu Religious Tradition</t>
  </si>
  <si>
    <t>Being Human : Ethics, Environment and Our Place in the World</t>
  </si>
  <si>
    <t>The Free Speech Movement : Reflections on Berkeley in the 1960s</t>
  </si>
  <si>
    <t>Popular Culture in the Age of White Flight : Fear and Fantasy in Suburban Los Angeles</t>
  </si>
  <si>
    <t>Haiti, History, and the Gods</t>
  </si>
  <si>
    <t>The View from Vesuvius : Italian Culture and the Southern Question</t>
  </si>
  <si>
    <t>Imperial Ideology and Provincial Loyalty in the Roman Empire</t>
  </si>
  <si>
    <t>The Three-Piece Suit and Modern Masculinity : England, 1550-1850</t>
  </si>
  <si>
    <t>The Unending Frontier : An Environmental History of the Early Modern World</t>
  </si>
  <si>
    <t>The Family on Trial in Revolutionary France</t>
  </si>
  <si>
    <t>Whitewashed Adobe : The Rise of Los Angeles and the Remaking of Its Mexican Past</t>
  </si>
  <si>
    <t>Popular Music and National Culture in Israel</t>
  </si>
  <si>
    <t>Of Women, Outcastes, Peasants, and Rebels : A Selection of Bengali Short Stories</t>
  </si>
  <si>
    <t>Mark Twain's Helpful Hints for Good Living : A Handbook for the Damned Human Race</t>
  </si>
  <si>
    <t>The Erotic Whitman</t>
  </si>
  <si>
    <t>Revenge of the Aesthetic : The Place of Literature in Theory Today</t>
  </si>
  <si>
    <t>Learning from Experience : Minority Identities, Multicultural Struggles</t>
  </si>
  <si>
    <t>What Is This Thing Called Jazz? : African American Musicians as Artists, Critics, and Activists</t>
  </si>
  <si>
    <t>American Klezmer : Its Roots and Offshoots</t>
  </si>
  <si>
    <t>Proof Through the Night : Music and the Great War</t>
  </si>
  <si>
    <t>Monteverdi and the End of the Renaissance</t>
  </si>
  <si>
    <t>Beethoven after Napoleon : Political Romanticism in the Late Works</t>
  </si>
  <si>
    <t>Performing Ethnomusicology : Teaching and Representation In World Music Ensembles</t>
  </si>
  <si>
    <t>Overhearing Film Dialogue</t>
  </si>
  <si>
    <t>Weimar Surfaces : Urban Visual Culture in 1920s Germany</t>
  </si>
  <si>
    <t>Financial Crisis, Contagion, and Containment : From Asia to Argentina</t>
  </si>
  <si>
    <t>Immigrants : Your Country Needs Them</t>
  </si>
  <si>
    <t>Franz Schubert and His World</t>
  </si>
  <si>
    <t>Interaction Ritual Chains</t>
  </si>
  <si>
    <t>Profane Culture</t>
  </si>
  <si>
    <t>The Amazons : Lives and Legends of Warrior Women Across the Ancient World</t>
  </si>
  <si>
    <t>Relentless Reformer : Josephine Roche and Progressivism in Twentieth-Century America</t>
  </si>
  <si>
    <t>Economic Interdependence and War</t>
  </si>
  <si>
    <t>The Birth of Hedonism : The Cyrenaic Philosophers and Pleasure As a Way of Life</t>
  </si>
  <si>
    <t>Theories of International Politics and Zombies : Revived Edition</t>
  </si>
  <si>
    <t>Frontier Fictions : Shaping the Iranian Nation, 1804-1946</t>
  </si>
  <si>
    <t>Told Again : Old Tales Told Again</t>
  </si>
  <si>
    <t>The Bhagavad Gita : A Biography</t>
  </si>
  <si>
    <t>Cambodia, 1975-1978 : Rendezvous with Death</t>
  </si>
  <si>
    <t>Paradise Lost and the Rhetoric of Literary Forms</t>
  </si>
  <si>
    <t>Politics and Remembrance : Republican Themes in Machiavelli, Burke, and Tocqueville</t>
  </si>
  <si>
    <t>Women Writers and Poetic Identity : Dorothy Wordsworth, Emily Bronte and Emily Dickinson</t>
  </si>
  <si>
    <t>Knowledge : Its Creation, Distribution and Economic Significance</t>
  </si>
  <si>
    <t>The Consolations of Writing : Literary Strategies of Resistance from Boethius to Primo Levi</t>
  </si>
  <si>
    <t>The Social Life of Money</t>
  </si>
  <si>
    <t>Cowardice : A Brief History</t>
  </si>
  <si>
    <t>Defining Neighbors : Religion, Race, and the Early Zionist-Arab Encounter</t>
  </si>
  <si>
    <t>Zombies and Calculus</t>
  </si>
  <si>
    <t>Do Zombies Dream of Undead Sheep? : A Neuroscientific View of the Zombie Brain</t>
  </si>
  <si>
    <t>Jews, Germans, and Allies : Close Encounters in Occupied Germany</t>
  </si>
  <si>
    <t>Political Ideas in the Romantic Age : Their Rise and Influence on Modern Thought</t>
  </si>
  <si>
    <t>The Complete Works of Aristotle : The Revised Oxford Translation, One-Volume Digital Edition</t>
  </si>
  <si>
    <t>Selling Our Souls : The Commodification of Hospital Care in the United States</t>
  </si>
  <si>
    <t>The Free-Market Innovation Machine : Analyzing the Growth Miracle of Capitalism</t>
  </si>
  <si>
    <t>Personal Impressions : Third Edition</t>
  </si>
  <si>
    <t>Faust I and II : Goethe's Collected Works</t>
  </si>
  <si>
    <t>Wildlife of the Caribbean</t>
  </si>
  <si>
    <t>Citizenship Between Empire and Nation : Remaking France and French Africa, 1945-1960</t>
  </si>
  <si>
    <t>America in the World : A History in Documents from the War with Spain to the War on Terror</t>
  </si>
  <si>
    <t>Freedom and Its Betrayal : Six Enemies of Human Liberty</t>
  </si>
  <si>
    <t>Pericles of Athens</t>
  </si>
  <si>
    <t>Complete Works of Aristotle : The Revised Oxford Translation</t>
  </si>
  <si>
    <t>Medieval Cities : Their Origins and the Revival of Trade</t>
  </si>
  <si>
    <t>Muslim Nationalism and the New Turks</t>
  </si>
  <si>
    <t>On Rumors : How Falsehoods Spread, Why We Believe Them, and What Can Be Done</t>
  </si>
  <si>
    <t>Between Monopoly and Free Trade : The English East India Company, 1600-1757</t>
  </si>
  <si>
    <t>High-Frequency Financial Econometrics</t>
  </si>
  <si>
    <t>Beautiful Game Theory : How Soccer Can Help Economics</t>
  </si>
  <si>
    <t>Wandering Greeks : The Ancient Greek Diaspora from the Age of Homer to the Death of Alexander the Great</t>
  </si>
  <si>
    <t>Complexity and the Art of Public Policy : Solving Society's Problems from the Bottom Up</t>
  </si>
  <si>
    <t>The Yoga Sutra of Patanjali : A Biography</t>
  </si>
  <si>
    <t>A Social Strategy : How We Profit from Social Media</t>
  </si>
  <si>
    <t>American Big Business in Britain and Germany : A Comparative History of Two Special Relationships in the 20th Century</t>
  </si>
  <si>
    <t>Liberalism : The Life of an Idea</t>
  </si>
  <si>
    <t>The Son Also Rises : Surnames and the History of Social Mobility</t>
  </si>
  <si>
    <t>The Age of the Democratic Revolution : A Political History of Europe and America, 1760-1800</t>
  </si>
  <si>
    <t>Ruling Russia : Authoritarianism from the Revolution to Putin</t>
  </si>
  <si>
    <t>Byzantine Matters</t>
  </si>
  <si>
    <t>Development of Personality : Development of Personality</t>
  </si>
  <si>
    <t>Mysterium Coniunctionis : Mysterium Coniunctionis</t>
  </si>
  <si>
    <t>Psychology and Alchemy : Psychology and Alchemy</t>
  </si>
  <si>
    <t>Two Essays in Analytical Psychology : Two Essays in Analytical Psychology</t>
  </si>
  <si>
    <t>Experimental Researches : Experimental Researches</t>
  </si>
  <si>
    <t>Freud and Psychoanalysis : Freud &amp; Psychoanalysis</t>
  </si>
  <si>
    <t>Structure and Dynamics of the Psyche : Structure &amp; Dynamics of the Psyche</t>
  </si>
  <si>
    <t>Civilization in Transition : Civilization in Transition</t>
  </si>
  <si>
    <t>Psychology and Religion : West and East</t>
  </si>
  <si>
    <t>The Symbolic Life : Miscellaneous Writings</t>
  </si>
  <si>
    <t>General Index : General Index</t>
  </si>
  <si>
    <t>Falling Behind? : Boom, Bust, and the Global Race for Scientific Talent</t>
  </si>
  <si>
    <t>Why Government Fails So Often : And How It Can Do Better</t>
  </si>
  <si>
    <t>Moral Imagination : Essays</t>
  </si>
  <si>
    <t>The Analytic Tradition in Philosophy, Volume 1 : The Founding Giants</t>
  </si>
  <si>
    <t>Gdp : A Brief but Affectionate History</t>
  </si>
  <si>
    <t>Agent_Zero : Toward Neurocognitive Foundations for Generative Social Science</t>
  </si>
  <si>
    <t>A World Without Why</t>
  </si>
  <si>
    <t>Trade and the Environment : Theory and Evidence</t>
  </si>
  <si>
    <t>Monopsony in Motion : Imperfect Competition in Labor Markets</t>
  </si>
  <si>
    <t>Wizards, Aliens, and Starships : Physics and Math in Fantasy and Science Fiction</t>
  </si>
  <si>
    <t>Cultures in Motion : Cultures in Motion</t>
  </si>
  <si>
    <t>Slumming : Sexual and Social Politics in Victorian London</t>
  </si>
  <si>
    <t>Lending to the Borrower from Hell : Debt, Taxes, and Default in the Age of Philip II</t>
  </si>
  <si>
    <t>Racisms : From the Crusades to the Twentieth Century</t>
  </si>
  <si>
    <t>Essays and Reviews : 1959-2002</t>
  </si>
  <si>
    <t>Sex after Fascism : Memory and Morality in Twentieth-Century Germany</t>
  </si>
  <si>
    <t>Violence : A Micro-Sociological Theory</t>
  </si>
  <si>
    <t>Running Randomized Evaluations : A Practical Guide</t>
  </si>
  <si>
    <t>Power to the People : Energy in Europe over the Last Five Centuries</t>
  </si>
  <si>
    <t>Muslims and Jews in France : History of a Conflict</t>
  </si>
  <si>
    <t>Kierkegaard's Journals and Notebooks - Journals NB15-NB20 : Journals NB15-NB20</t>
  </si>
  <si>
    <t>Soren Kierkegaard : A Biography</t>
  </si>
  <si>
    <t>The Silent Majority : Suburban Politics in the Sunbelt South</t>
  </si>
  <si>
    <t>Morning in America : How Ronald Reagan Invented the 1980's</t>
  </si>
  <si>
    <t>How We Hope : A Moral Psychology</t>
  </si>
  <si>
    <t>Recursive Models of Dynamic Linear Economies</t>
  </si>
  <si>
    <t>The Essential Jung : Selected and Introduced by Anthony Storr</t>
  </si>
  <si>
    <t>The Power of Ideas</t>
  </si>
  <si>
    <t>Concepts and Categories : Philosophical Essays</t>
  </si>
  <si>
    <t>Karl Marx</t>
  </si>
  <si>
    <t>The Quotable Kierkegaard</t>
  </si>
  <si>
    <t>Lectures on the History of Moral and Political Philosophy</t>
  </si>
  <si>
    <t>Leisurely Islam : Negotiating Geography and Morality in Shi'ite South Beirut</t>
  </si>
  <si>
    <t>The Modern Spirit of Asia : The Spiritual and the Secular in China and India</t>
  </si>
  <si>
    <t>The Spirit of Cities : Why the Identity of a City Matters in a Global Age</t>
  </si>
  <si>
    <t>The New York Nobody Knows : Walking 6,000 Miles in the City</t>
  </si>
  <si>
    <t>The Essential Hirschman</t>
  </si>
  <si>
    <t>Secrets and Leaks : The Dilemma of State Secrecy</t>
  </si>
  <si>
    <t>Would You Kill the Fat Man? : The Trolley Problem and What Your Answer Tells Us about Right and Wrong</t>
  </si>
  <si>
    <t>Hamlet in Purgatory</t>
  </si>
  <si>
    <t>Almanac : Poems</t>
  </si>
  <si>
    <t>Reflections on the Musical Mind : An Evolutionary Perspective</t>
  </si>
  <si>
    <t>The Substance of Representation : Congress, American Political Development, and Lawmaking</t>
  </si>
  <si>
    <t>Cities of Commerce : The Institutional Foundations of International Trade in the Low Countries, 1250-1650</t>
  </si>
  <si>
    <t>Conservative Internationalism : Armed Diplomacy under Jefferson, Polk, Truman, and Reagan</t>
  </si>
  <si>
    <t>The Price of Rights : Regulating International Labor Migration</t>
  </si>
  <si>
    <t>Big Gods : How Religion Transformed Cooperation and Conflict</t>
  </si>
  <si>
    <t>Mass Flourishing : How Grassroots Innovation Created Jobs, Challenge, and Change</t>
  </si>
  <si>
    <t>The Plum in the Golden Vase, or Chin P'Ing Mei : The Dissolution</t>
  </si>
  <si>
    <t>Come Out Swinging : The Changing World of Boxing in Gleason's Gym</t>
  </si>
  <si>
    <t>Aristotle : His Life and School</t>
  </si>
  <si>
    <t>The Terrorist's Dilemma : Managing Violent Covert Organizations</t>
  </si>
  <si>
    <t>The Gamble : Choice and Chance in the 2012 Presidential Election</t>
  </si>
  <si>
    <t>The Crooked Timber of Humanity : Chapters in the History of Ideas</t>
  </si>
  <si>
    <t>Against the Current : Essays in the History of Ideas</t>
  </si>
  <si>
    <t>The Plum in the Golden Vase, or Chin P'ing Mei : The Rivals</t>
  </si>
  <si>
    <t>The Plum in the Golden Vase, or Chin P'Ing Mei - The Gathering : The Gathering</t>
  </si>
  <si>
    <t>Rethinking the Korean War : A New Diplomatic and Strategic History</t>
  </si>
  <si>
    <t>Keys to the City : How Economics, Institutions, Social Interaction, and Politics Shape Development</t>
  </si>
  <si>
    <t>Competition Policy and Price Fixing</t>
  </si>
  <si>
    <t>When People Come First : Critical Studies in Global Health</t>
  </si>
  <si>
    <t>Finance and the Good Society</t>
  </si>
  <si>
    <t>What Is Your Race? : The Census and Our Flawed Efforts to Classify Americans</t>
  </si>
  <si>
    <t>Fearful Symmetry : A Study of William Blake</t>
  </si>
  <si>
    <t>Weimar Germany : Promise and Tragedy</t>
  </si>
  <si>
    <t>The Seducer's Diary</t>
  </si>
  <si>
    <t>Our Bodies, Whose Property?</t>
  </si>
  <si>
    <t>Change They Can't Believe In : The Tea Party and Reactionary Politics in America</t>
  </si>
  <si>
    <t>No Joke : Making Jewish Humor</t>
  </si>
  <si>
    <t>Weimar Thought : A Contested Legacy</t>
  </si>
  <si>
    <t>Presidents and the Dissolution of the Union : Leadership Style from Polk to Lincoln</t>
  </si>
  <si>
    <t>Looking for Rights in All the Wrong Places : Why State Constitutions Contain America's Positive Rights</t>
  </si>
  <si>
    <t>Security : Politics, Humanity, and the Philology of Care</t>
  </si>
  <si>
    <t>After Cloven Tongues of Fire : Protestant Liberalism in Modern American History</t>
  </si>
  <si>
    <t>Rational Ritual : Culture, Coordination, and Common Knowledge</t>
  </si>
  <si>
    <t>A Short Life of Kierkegaard</t>
  </si>
  <si>
    <t>The Open Society and Its Enemies</t>
  </si>
  <si>
    <t>The Hedgehog and the Fox : An Essay on Tolstoy's View of History</t>
  </si>
  <si>
    <t>College : What It Was, Is, and Should Be</t>
  </si>
  <si>
    <t>Waiting for JosÃ© : The Minutemen's Pursuit of America</t>
  </si>
  <si>
    <t>The Federal Reserve and the Financial Crisis</t>
  </si>
  <si>
    <t>Worldly Philosopher : The Odyssey of Albert O. Hirschman</t>
  </si>
  <si>
    <t>The Concept of Irony : With Continual Reference to Socrates/Notes of Schelling's Berlin Lectures</t>
  </si>
  <si>
    <t>Making Human Rights a Reality</t>
  </si>
  <si>
    <t>Tocqueville : The Aristocratic Sources of Liberty</t>
  </si>
  <si>
    <t>Erosion</t>
  </si>
  <si>
    <t>A Glossary of Chickens : Poems</t>
  </si>
  <si>
    <t>Moral Perception</t>
  </si>
  <si>
    <t>Egypt after Mubarak : Liberalism, Islam, and Democracy in the Arab World</t>
  </si>
  <si>
    <t>Why Philanthropy Matters : How the Wealthy Give, and What It Means for Our Economic Well-Being</t>
  </si>
  <si>
    <t>The Pity of Partition : Manto's Life, Times, and Work Across the India-Pakistan Divide</t>
  </si>
  <si>
    <t>The Leaderless Economy : Why the World Economic System Fell Apart and How to Fix It</t>
  </si>
  <si>
    <t>Identity and Control : How Social Formations Emerge</t>
  </si>
  <si>
    <t>Yield Curve Modeling and Forecasting : The Dynamic Nelson-Siegel Approach</t>
  </si>
  <si>
    <t>Eco-Republic : What the Ancients Can Teach Us about Ethics, Virtue, and Sustainable Living</t>
  </si>
  <si>
    <t>State of the Union : A Century of American Labor</t>
  </si>
  <si>
    <t>Democratic Reason : Politics, Collective Intelligence, and the Rule of the Many</t>
  </si>
  <si>
    <t>The Roman Market Economy</t>
  </si>
  <si>
    <t>Mozart's Grace</t>
  </si>
  <si>
    <t>Awakening Giants, Feet of Clay : Assessing the Economic Rise of China and India</t>
  </si>
  <si>
    <t>Becoming Right : How Campuses Shape Young Conservatives</t>
  </si>
  <si>
    <t>Boilerplate : The Fine Print, Vanishing Rights, and the Rule of Law</t>
  </si>
  <si>
    <t>The Dead Sea Scrolls : A Biography</t>
  </si>
  <si>
    <t>From Neighborhoods to Nations : The Economics of Social Interactions</t>
  </si>
  <si>
    <t>The Two Yvonnes : Poems</t>
  </si>
  <si>
    <t>Mathematical Tools for Understanding Infectious Disease Dynamics</t>
  </si>
  <si>
    <t>The Quest for Prosperity : How Developing Economies Can Take Off</t>
  </si>
  <si>
    <t>Local Histories/Global Designs : Coloniality, Subaltern Knowledges, and Border Thinking</t>
  </si>
  <si>
    <t>Social Trends in American Life : Findings from the General Social Survey Since 1972</t>
  </si>
  <si>
    <t>Heart Beats : Everyday Life and the Memorized Poem</t>
  </si>
  <si>
    <t>Finding Oneself in the Other</t>
  </si>
  <si>
    <t>Whose Culture? : The Promise of Museums and the Debate over Antiquities</t>
  </si>
  <si>
    <t>The Great Brain Race : How Global Universities Are Reshaping the World</t>
  </si>
  <si>
    <t>Climbing the Charts : What Radio Airplay Tells Us about the Diffusion of Innovation</t>
  </si>
  <si>
    <t>Sin : The Early History of an Idea</t>
  </si>
  <si>
    <t>Pursuits of Wisdom : Six Ways of Life in Ancient Philosophy from Socrates to Plotinus</t>
  </si>
  <si>
    <t>Local Elections and the Politics of Small-Scale Democracy</t>
  </si>
  <si>
    <t>In Our Name : The Ethics of Democracy</t>
  </si>
  <si>
    <t>When Is True Belief Knowledge?</t>
  </si>
  <si>
    <t>Manhunts : A Philosophical History</t>
  </si>
  <si>
    <t>The New Gilded Age : From "Unequal Democracy"</t>
  </si>
  <si>
    <t>The International Human Rights Movement : A History</t>
  </si>
  <si>
    <t>On the Origins of Jewish Self-Hatred</t>
  </si>
  <si>
    <t>Why Adjudicate? : Enforcing Trade Rules in the WTO</t>
  </si>
  <si>
    <t>The Everlasting Empire : The Political Culture of Ancient China and Its Imperial Legacy</t>
  </si>
  <si>
    <t>Philosophic Pride : Stoicism and Political Thought from Lipsius to Rousseau</t>
  </si>
  <si>
    <t>How to Do Things with Books in Victorian Britain</t>
  </si>
  <si>
    <t>The Young Turks' Crime Against Humanity : The Armenian Genocide and Ethnic Cleansing in the Ottoman Empire</t>
  </si>
  <si>
    <t>A Written Republic : Cicero's Philosophical Politics</t>
  </si>
  <si>
    <t>The Founder's Dilemmas : Anticipating and Avoiding the Pitfalls That Can Sink a Startup</t>
  </si>
  <si>
    <t>Alexander the Great and His Empire : A Short Introduction</t>
  </si>
  <si>
    <t>A King Travels : Festive Traditions in Late Medieval and Early Modern Spain</t>
  </si>
  <si>
    <t>The New Arab Man : Emergent Masculinities, Technologies, and Islam in the Middle East</t>
  </si>
  <si>
    <t>Pogrom in Gujarat : Hindu Nationalism and Anti-Muslim Violence in India</t>
  </si>
  <si>
    <t>Foreign Relations : American Immigration in Global Perspective</t>
  </si>
  <si>
    <t>The Irresistible Fairy Tale : The Cultural and Social History of a Genre</t>
  </si>
  <si>
    <t>Philosophical Logic</t>
  </si>
  <si>
    <t>The I Ching : A Biography</t>
  </si>
  <si>
    <t>Lending Credibility : The International Monetary Fund and the Post-Communist Transition</t>
  </si>
  <si>
    <t>The Cold War and After : History, Theory, and the Logic of International Politics</t>
  </si>
  <si>
    <t>On Sacrifice</t>
  </si>
  <si>
    <t>A Virtue for Courageous Minds : Moderation in French Political Thought, 1748-1830</t>
  </si>
  <si>
    <t>Free Market Fairness</t>
  </si>
  <si>
    <t>The Paradox of Love</t>
  </si>
  <si>
    <t>Synchronicity : An Acausal Connecting Principle. (From Vol. 8. of the Collected Works of C. G. Jung)</t>
  </si>
  <si>
    <t>Authority and Estrangement : An Essay on Self-Knowledge</t>
  </si>
  <si>
    <t>Ground Wars : Personalized Communication in Political Campaigns</t>
  </si>
  <si>
    <t>Volcanoes in Human History : The Far-Reaching Effects of Major Eruptions</t>
  </si>
  <si>
    <t>Guilty of Indigence : The Urban Poor in China, 1900-1953</t>
  </si>
  <si>
    <t>Jung Contra Freud : The 1912 New York Lectures on the Theory of Psychoanalysis</t>
  </si>
  <si>
    <t>Introduction to Jungian Psychology : Notes of the Seminar on Analytical Psychology Given in 1925</t>
  </si>
  <si>
    <t>The Oil Curse : How Petroleum Wealth Shapes the Development of Nations</t>
  </si>
  <si>
    <t>Governing America : The Revival of Political History</t>
  </si>
  <si>
    <t>Generative Social Science : Studies in Agent-Based Computational Modeling</t>
  </si>
  <si>
    <t>A Non-Random Walk down Wall Street</t>
  </si>
  <si>
    <t>Codes of the Underworld : How Criminals Communicate</t>
  </si>
  <si>
    <t>A Theory of Foreign Policy</t>
  </si>
  <si>
    <t>On Reading : From "Walden"</t>
  </si>
  <si>
    <t>Improving Public Opinion Surveys : Interdisciplinary Innovation and the American National Election Studies</t>
  </si>
  <si>
    <t>Economic Geography and Public Policy</t>
  </si>
  <si>
    <t>The French Way : How France Embraced and Rejected American Values and Power</t>
  </si>
  <si>
    <t>Ethics in an Age of Terror and Genocide : Identity and Moral Choice</t>
  </si>
  <si>
    <t>Tobacco Capitalism : Growers, Migrant Workers, and the Changing Face of a Global Industry</t>
  </si>
  <si>
    <t>Philanthropy in America : A History</t>
  </si>
  <si>
    <t>Lost Colony : The Untold Story of China's First Great Victory over the West</t>
  </si>
  <si>
    <t>Magical Mathematics : The Mathematical Ideas That Animate Great Magic Tricks</t>
  </si>
  <si>
    <t>Strings Attached : Untangling the Ethics of Incentives</t>
  </si>
  <si>
    <t>The Virtues of Our Vices : A Modest Defense of Gossip, Rudeness, and Other Bad Habits</t>
  </si>
  <si>
    <t>The Evolution of a Nation : How Geography and Law Shaped the American States</t>
  </si>
  <si>
    <t>Locke on Personal Identity : Consciousness and Concernment</t>
  </si>
  <si>
    <t>Enigmas of Identity</t>
  </si>
  <si>
    <t>Attention Deficit Democracy : The Paradox of Civic Engagement</t>
  </si>
  <si>
    <t>A Book Forged in Hell : Spinoza's Scandalous Treatise and the Birth of the Secular Age</t>
  </si>
  <si>
    <t>The Concise Princeton Encyclopedia of American Political History</t>
  </si>
  <si>
    <t>Shakespeare's Festive Comedy : A Study of Dramatic Form and Its Relation to Social Custom</t>
  </si>
  <si>
    <t>Codes of Finance : Engineering Derivatives in a Global Bank</t>
  </si>
  <si>
    <t>An Intellectual History of Cannibalism</t>
  </si>
  <si>
    <t>The Other Alliance : Student Protest in West Germany and the United States in the Global Sixties</t>
  </si>
  <si>
    <t>Uprooted : How Breslau Became Wroclaw During the Century of Expulsions</t>
  </si>
  <si>
    <t>Beauty Pays : Why Attractive People Are More Successful</t>
  </si>
  <si>
    <t>The Whites of Their Eyes : The Tea Party's Revolution and the Battle over American History</t>
  </si>
  <si>
    <t>Fault Lines : How Hidden Fractures Still Threaten the World Economy</t>
  </si>
  <si>
    <t>The Plum in the Golden Vase or, Chin P'Ing Mei : The Aphrodisiac</t>
  </si>
  <si>
    <t>Group Problem Solving</t>
  </si>
  <si>
    <t>A Behavioral Theory of Elections</t>
  </si>
  <si>
    <t>The Struggle for Power in Early Modern Europe : Religious Conflict, Dynastic Empires, and International Change</t>
  </si>
  <si>
    <t>Jean Sibelius and His World</t>
  </si>
  <si>
    <t>Who Owns Antiquity? : Museums and Th</t>
  </si>
  <si>
    <t>The Terror of History : On the Uncertainties of Life in Western Civilization</t>
  </si>
  <si>
    <t>The Source of the River : The Social Origins of Freshmen at America's Selective Colleges and Universities</t>
  </si>
  <si>
    <t>Reclaiming the Game : College Sports and Educational Values</t>
  </si>
  <si>
    <t>Victorian Culture and Classical Antiquity : Art, Opera, Fiction, and the Proclamation of Modernity</t>
  </si>
  <si>
    <t>Population-Based Survey Experiments</t>
  </si>
  <si>
    <t>Understanding the Process of Economic Change</t>
  </si>
  <si>
    <t>Post-Soviet Social : Neoliberalism, Social Modernity, Biopolitics</t>
  </si>
  <si>
    <t>Black Atlantic Religion : Tradition,</t>
  </si>
  <si>
    <t>The Plum in the Golden Vase Or, Chin P'ing Mei : The Climax</t>
  </si>
  <si>
    <t>Delete : The Virtue of Forgetting in the Digital Age</t>
  </si>
  <si>
    <t>The Recursive Mind : The Origins of Human Language, Thought, and Civilization</t>
  </si>
  <si>
    <t>A Cooperative Species : Human Reciprocity and Its Evolution</t>
  </si>
  <si>
    <t>Line in the Sand : A History of the Western U. S. - Mexico Border</t>
  </si>
  <si>
    <t>The Pursuit of Laziness : An Idle Interpretation of the Enlighten</t>
  </si>
  <si>
    <t>Enhancing Evolution : The Ethical Case for Making Better People</t>
  </si>
  <si>
    <t>Mass and Elite in Democratic Athens : Rhetoric, Ideology, and the Power of the People</t>
  </si>
  <si>
    <t>Ataturk : An Intellectual Biography</t>
  </si>
  <si>
    <t>The Quotable Thoreau</t>
  </si>
  <si>
    <t>Braintrust : What Neuroscience Tells Us about Morality</t>
  </si>
  <si>
    <t>Making Volunteers : Civic Life after Welfare's End</t>
  </si>
  <si>
    <t>Blind Spots : Why We Fail to Do What's Right and What to Do about It</t>
  </si>
  <si>
    <t>Ancient Chinese Thought, Modern Chinese Power</t>
  </si>
  <si>
    <t>The Next Catastrophe : Reducing Our Vulnerabilities to Natural, Industrial, and Terrorist Disasters</t>
  </si>
  <si>
    <t>Mafias on the Move : How Organized Crime Conquers New Territories</t>
  </si>
  <si>
    <t>The Real World of Democratic Theory</t>
  </si>
  <si>
    <t>Why Everyone (Else) Is a Hypocrite : Evolution and the Modular Mind</t>
  </si>
  <si>
    <t>Carnations : Poems</t>
  </si>
  <si>
    <t>At Lake Scugog : Poems</t>
  </si>
  <si>
    <t>Poems under Saturn : Poèmes Saturniens</t>
  </si>
  <si>
    <t>Being Numerous : Poetry and the Ground of Social Life</t>
  </si>
  <si>
    <t>Why?</t>
  </si>
  <si>
    <t>Democratizing the Enemy : The Japanese American Internment</t>
  </si>
  <si>
    <t>The Blame Game : Spin, Bureaucracy, and Self-Preservation in Government</t>
  </si>
  <si>
    <t>Ten Hills Farm : The Forgotten History of Slavery in the North</t>
  </si>
  <si>
    <t>The Global Remapping of American Literature</t>
  </si>
  <si>
    <t>Becoming Yellow : A Short History of Racial Thinking</t>
  </si>
  <si>
    <t>Beyond the Brain : How Body and Environment Shape Animal and Human Minds</t>
  </si>
  <si>
    <t>Guaranteed to Fail : Fannie Mae, Freddie Mac, and the Debacle of Mortgage Finance</t>
  </si>
  <si>
    <t>The Silicon Jungle : A Novel of Deception, Power, and Internet Intrigue</t>
  </si>
  <si>
    <t>A Culture of Corruption : Everyday Deception and Popular Discontent in Nigeria</t>
  </si>
  <si>
    <t>The Wounded Animal : J. M. Coetzee and the Difficulty of Reality in Literature and Philosophy</t>
  </si>
  <si>
    <t>The Politics of Women's Rights in Iran</t>
  </si>
  <si>
    <t>Franz Liszt and His World</t>
  </si>
  <si>
    <t>On Nineteen Eighty-Four : Orwell and Our Future</t>
  </si>
  <si>
    <t>The Color of School Reform : Race, Politics, and the Challenge of Urban Education</t>
  </si>
  <si>
    <t>Self-Fulfillment</t>
  </si>
  <si>
    <t>Scripting Addiction : The Politics of Therapeutic Talk and American Sobriety</t>
  </si>
  <si>
    <t>Imperialism, Power, and Identity : Experiencing the Roman Empire</t>
  </si>
  <si>
    <t>Hearing and Knowing Music : The Unpublished Essays of Edward T. Cone</t>
  </si>
  <si>
    <t>The Apologetics of Evil : The Case of Iago</t>
  </si>
  <si>
    <t>Along the Archival Grain : Epistemic Anxieties and Colonial Common Sense</t>
  </si>
  <si>
    <t>A Defense of Hume on Miracles</t>
  </si>
  <si>
    <t>The Long Divergence : How Islamic Law Held Back the Middle East</t>
  </si>
  <si>
    <t>Essays on Giordano Bruno</t>
  </si>
  <si>
    <t>Cultivating Conscience : How Good Laws Make Good People</t>
  </si>
  <si>
    <t>Blessed Are the Organized : Grassroots Democracy in America</t>
  </si>
  <si>
    <t>The Big Ditch : How America Took, Built, Ran, and Ultimately Gave Away the Panama Canal</t>
  </si>
  <si>
    <t>A Monetary History of the United States, 1867-1960</t>
  </si>
  <si>
    <t>Oranges and Snow : Selected Poems of Milan Djordjevic</t>
  </si>
  <si>
    <t>What Was Socialism, and What Comes Next?</t>
  </si>
  <si>
    <t>The Korean War : An International History</t>
  </si>
  <si>
    <t>Vital Signs : Medical Realism in Nineteenth-Century Fiction</t>
  </si>
  <si>
    <t>After Colonialism : Imperial Histories and Postcolonial Displacements</t>
  </si>
  <si>
    <t>City Making : Building Communities Without Building Walls</t>
  </si>
  <si>
    <t>Threats to Democracy : The Radical Right in Italy after the War</t>
  </si>
  <si>
    <t>Diplomacy of Conscience : Amnesty International and Changing Human Rights Norms</t>
  </si>
  <si>
    <t>Stalin's Genocides</t>
  </si>
  <si>
    <t>The Ethics of Identity</t>
  </si>
  <si>
    <t>The Cloak of Dreams : Chinese Fairy Tales</t>
  </si>
  <si>
    <t>The Handbook of Economic Sociology</t>
  </si>
  <si>
    <t>Walden : 150th Anniversary Editon</t>
  </si>
  <si>
    <t>Reputation and Power : Organizational Image and Pharmaceutical Regulation at the FDA</t>
  </si>
  <si>
    <t>Unpaid Professionals : Commercialism and Conflict in Big-Time College Sports</t>
  </si>
  <si>
    <t>The Wind from the East : French Intellectuals, the Cultural Revolution, and the Legacy of the 1960s</t>
  </si>
  <si>
    <t>Religion after Religion : Gershom Scholem, Mircea Eliade, and Henry Corbin at Eranos</t>
  </si>
  <si>
    <t>Not Even Past : Barack Obama and the Burden of Race</t>
  </si>
  <si>
    <t>A Revolution of the Mind : Radical Enlightenment and the Intellectual Origins of Modern Democracy</t>
  </si>
  <si>
    <t>Postmodern Belief : American Literature and Religion since 1960</t>
  </si>
  <si>
    <t>The Saffron Wave : Democracy and Hindu Nationalism in Modern India</t>
  </si>
  <si>
    <t>War at a Distance : Romanticism and the Making of Modern Wartime</t>
  </si>
  <si>
    <t>Why Not Socialism?</t>
  </si>
  <si>
    <t>Financing the American Dream : A Cultural History of Consumer Credit</t>
  </si>
  <si>
    <t>Nation, Language, and the Ethics of Translation</t>
  </si>
  <si>
    <t>Japan Transformed : Political Change and Economic Restructuring</t>
  </si>
  <si>
    <t>Offside : Soccer and American Exceptionalism</t>
  </si>
  <si>
    <t>Reconstructing the Roman Republic : An Ancient Political Culture and Modern Research</t>
  </si>
  <si>
    <t>Saving God : Religion after Idolatry</t>
  </si>
  <si>
    <t>How Terrorism Ends : Understanding the Decline and Demise of Terrorist Campaigns</t>
  </si>
  <si>
    <t>Meaning in Life and Why It Matters</t>
  </si>
  <si>
    <t>Capitalism and the Jews</t>
  </si>
  <si>
    <t>Red State, Blue State, Rich State, Poor State : Why Americans Vote the Way They Do (Expanded Edition)</t>
  </si>
  <si>
    <t>City of Capital : Politics and Markets in the English Financial Revolution</t>
  </si>
  <si>
    <t>Pen of Iron : American Prose and the King James Bible</t>
  </si>
  <si>
    <t>Truth V. Justice : The Morality of Truth Commissions</t>
  </si>
  <si>
    <t>Charter Schools : Hope or Hype?</t>
  </si>
  <si>
    <t>Crossing the Finish Line : Completing College at America's Public Universities</t>
  </si>
  <si>
    <t>The Politics of Retribution in Europe : World War II and Its Aftermath</t>
  </si>
  <si>
    <t>Information and Learning in Markets : The Impact of Market Microstructure</t>
  </si>
  <si>
    <t>Fighting for Democracy : Black Veterans and the Struggle Against White Supremacy in the Postwar South</t>
  </si>
  <si>
    <t>The Horse, the Wheel, and Language : How Bronze-Age Riders from the Eurasian Steppes Shaped the Modern World</t>
  </si>
  <si>
    <t>The Spectacle of Intimacy : A Public Life for the Victorian Family</t>
  </si>
  <si>
    <t>Making Democracy Work : Civic Traditions in Modern Italy</t>
  </si>
  <si>
    <t>Lincoln on Race and Slavery</t>
  </si>
  <si>
    <t>Modernism, Media, and Propaganda : British Narrative from 1900 To 1945</t>
  </si>
  <si>
    <t>Religious Experience Reconsidered : A Building-Block Approach to the Study of Religion and Other Special Things</t>
  </si>
  <si>
    <t>A Place on the Team : The Triumph and Tragedy of Title IX</t>
  </si>
  <si>
    <t>Subprime Solution : How Today's Global Financial Crisis Happened, and What to Do about It</t>
  </si>
  <si>
    <t>The Politics of the Veil</t>
  </si>
  <si>
    <t>Excess and the Mean in Early Modern English Literature</t>
  </si>
  <si>
    <t>The Play of Space : Spatial Transformation in Greek Tragedy</t>
  </si>
  <si>
    <t>The Machiavellian Moment : Florentine Political Thought and the Atlantic Republican Tradition</t>
  </si>
  <si>
    <t>Reforms at Risk : What Happens after Major Policy Changes Are Enacted</t>
  </si>
  <si>
    <t>Democracy and Knowledge : Innovation and Learning in Classical Athens</t>
  </si>
  <si>
    <t>The Aesthetics of Mimesis : Ancient Texts and Modern Problems</t>
  </si>
  <si>
    <t>Split Decisions : How and Why to Take a Break from Feminism</t>
  </si>
  <si>
    <t>The Qualities of a Citizen : Women, Immigration, and Citizenship, 1870-1965</t>
  </si>
  <si>
    <t>The School of Libanius in Late Antique Antioch</t>
  </si>
  <si>
    <t>The State of Speech : Rhetoric and Political Thought in Ancient Rome</t>
  </si>
  <si>
    <t>The Dream of the Poem : Hebrew Poetry from Muslim and Christian Spain, 950-1492</t>
  </si>
  <si>
    <t>The Lives of Animals</t>
  </si>
  <si>
    <t>The Cultural Contradictions of Democracy : Political Thought since September 11</t>
  </si>
  <si>
    <t>The Venturesome Economy : How Innovation Sustains Prosperity in a More Connected World</t>
  </si>
  <si>
    <t>Schoolhouses, Courthouses, and Statehouses : Solving the Funding-Achievement Puzzle in America's Public Schools</t>
  </si>
  <si>
    <t>Taming the River : Negotiating the Academic, Financial, and Social Currents in Selective Colleges and Universities</t>
  </si>
  <si>
    <t>Dividing Lines : The Politics of Immigration Control in America</t>
  </si>
  <si>
    <t>New Times in Modern Japan</t>
  </si>
  <si>
    <t>Nuclear Logics : Contrasting Paths in East Asia and the Middle East</t>
  </si>
  <si>
    <t>Organizing America : Wealth, Power, and the Origins of Corporate Capitalism</t>
  </si>
  <si>
    <t>Bound by Recognition</t>
  </si>
  <si>
    <t>Does God Belong in Public Schools?</t>
  </si>
  <si>
    <t>What They Think of Us : International Perceptions of the United States Since 9/11</t>
  </si>
  <si>
    <t>Creative Destruction : How Globalization Is Changing the World's Cultures</t>
  </si>
  <si>
    <t>Disorienting Fiction : The Autoethnographic Work of Nineteenth-Century British Novels</t>
  </si>
  <si>
    <t>Edgework : Critical Essays on Knowledge and Politics</t>
  </si>
  <si>
    <t>Music as Thought : Listening to the Symphony in the Age of Beethoven</t>
  </si>
  <si>
    <t>Unequal Democracy : The Political Economy of the New Gilded Age</t>
  </si>
  <si>
    <t>Playing to Win : Sports, Video Games, and the Culture of Play</t>
  </si>
  <si>
    <t>9/11 and the Visual Culture of Disaster</t>
  </si>
  <si>
    <t>Plowed Under : Food Policy Protests and Performance in New Deal America</t>
  </si>
  <si>
    <t>Saving Stalin's Imperial City : Historic Preservation in Leningrad, 1930-1950</t>
  </si>
  <si>
    <t>Chinese Looks : Fashion, Performance, Race</t>
  </si>
  <si>
    <t>Mourning Headband for Hue : An Account of the Battle for Hue, Vietnam 1968</t>
  </si>
  <si>
    <t>The Future of Continental Philosophy of Religion</t>
  </si>
  <si>
    <t>Global Rome : Changing Faces of the Eternal City</t>
  </si>
  <si>
    <t>Hindu-Catholic Encounters in Goa : Religion, Colonialism, and Modernity</t>
  </si>
  <si>
    <t>Breaking Time's Arrow : Experiment and Expression in the Music of Charles Ives</t>
  </si>
  <si>
    <t>The Defiant Life of Vera Figner : Surviving the Russian Revolution</t>
  </si>
  <si>
    <t>Playing with Religion in Digital Games</t>
  </si>
  <si>
    <t>Geographies of the Holocaust</t>
  </si>
  <si>
    <t>Clavichord for Beginners</t>
  </si>
  <si>
    <t>Toward Spatial Humanities : Historical GIS and Spatial History</t>
  </si>
  <si>
    <t>Silent Cinema and the Politics of Space</t>
  </si>
  <si>
    <t>Stanley Cavell, Religion, and Continental Philosophy</t>
  </si>
  <si>
    <t>Sound, Speech, Music in Soviet and Post-Soviet Cinema</t>
  </si>
  <si>
    <t>Colonialism by Proxy : Hausa Imperial Agents and Middle Belt Consciousness in Nigeria</t>
  </si>
  <si>
    <t>Misremembering Dr. King : Revisiting the Legacy of Martin Luther King Jr</t>
  </si>
  <si>
    <t>William J. Forsyth : The Life and Work of an Indiana Artist</t>
  </si>
  <si>
    <t>Making Place : Space and Embodiment in the City</t>
  </si>
  <si>
    <t>Writing Travel in Central Asian History</t>
  </si>
  <si>
    <t>Palestinian Music and Song : Expression and Resistance Since 1900</t>
  </si>
  <si>
    <t>Teaching, Learning, and the Holocaust : An Integrative Approach</t>
  </si>
  <si>
    <t>Death in Winterreise : Musico-Poetic Associations in Schubert's Song Cycle</t>
  </si>
  <si>
    <t>Guide to the Pianist's Repertoire, Fourth Edition</t>
  </si>
  <si>
    <t>Language after Heidegger</t>
  </si>
  <si>
    <t>Troubled Geographies : A Spatial History of Religion and Society in Ireland</t>
  </si>
  <si>
    <t>Colonial Culture in France since the Revolution</t>
  </si>
  <si>
    <t>Everyday Life in South Asia, Second Edition</t>
  </si>
  <si>
    <t>Menahem Pressler : Artistry in Piano Teaching</t>
  </si>
  <si>
    <t>Material Feminisms</t>
  </si>
  <si>
    <t>Blinded by the Whites : Why Race Still Matters in 21st-Century America</t>
  </si>
  <si>
    <t>That the Blood Stay Pure : African Americans, Native Americans, and the Predicament of Race and Identity in Virginia</t>
  </si>
  <si>
    <t>Prelude to Blitzkrieg : The 1916 Austro-German Campaign in Romania</t>
  </si>
  <si>
    <t>Saturday Night Live &amp; American TV</t>
  </si>
  <si>
    <t>Women and the Gift : Beyond the Given and All-Giving</t>
  </si>
  <si>
    <t>Visual Culture in the Modern Middle East : Rhetoric of the Image</t>
  </si>
  <si>
    <t>When the World Becomes Female : Guises of a South Indian Goddess</t>
  </si>
  <si>
    <t>Conflict and Peacebuilding in the African Great Lakes Region</t>
  </si>
  <si>
    <t>François Truffaut : The Lost Secret</t>
  </si>
  <si>
    <t>Anthropology of the Middle East and North Africa : Into the New Millenium</t>
  </si>
  <si>
    <t>The Materiality of Language : Gender, Politics, and the University</t>
  </si>
  <si>
    <t>Ethnographic Encounters in Israel : Poetics and Ethics of Fieldwork</t>
  </si>
  <si>
    <t>The Socialist Sixties : Crossing Borders in the Second World</t>
  </si>
  <si>
    <t>Studies in Antisemitism : Resurgent Antisemitism: Global Perspectives</t>
  </si>
  <si>
    <t>Art of George Ames Aldrich</t>
  </si>
  <si>
    <t>Writing History at the Ottoman Court : Editing the Past, Fashioning the Future</t>
  </si>
  <si>
    <t>Teaching Africa : A Guide for the 21st-Century Classroom</t>
  </si>
  <si>
    <t>Dreams of Duneland : A Pictoral History of the Indiana Dunes Region</t>
  </si>
  <si>
    <t>Becoming Soviet Jews : The Bolshevik Experiment in Minsk</t>
  </si>
  <si>
    <t>Elie Wiesel : Jewish, Literary, and Moral Perspectives</t>
  </si>
  <si>
    <t>The B Word : Bisexuality in Contemporary Film and Television</t>
  </si>
  <si>
    <t>Blacks in the Diaspora : Free and French in the Caribbean: Toussaint Louverture, Aim Csaire, and Narratives of Loyal Opposition</t>
  </si>
  <si>
    <t>The Jazz Life of Dr. Billy Taylor</t>
  </si>
  <si>
    <t>Railroads Past and Present : Electric Pullman: a History of the Niles Car and Manufacturing Company</t>
  </si>
  <si>
    <t>Trash : African Cinema from Below</t>
  </si>
  <si>
    <t>Public Cultures of the Middle East and North Africa : Arab Revolts: Dispatches on Militant Democracy in the Middle East</t>
  </si>
  <si>
    <t>Music, Nature, Place : Music and the Skillful Listener: American Women Compose the Natural World</t>
  </si>
  <si>
    <t>A Dance of Assassins : Performing Early Colonial Hegemony in the Congo</t>
  </si>
  <si>
    <t>Jelly Roll, Bix, and Hoagy : Gennett Records and the Rise of America's Musical Grassroots</t>
  </si>
  <si>
    <t>A History of Korea : From Land of the Morning Calm to States in Conflict</t>
  </si>
  <si>
    <t>Performing the US Latina and Latino Borderlands</t>
  </si>
  <si>
    <t>Studies in Continental Thought : Four Seminars</t>
  </si>
  <si>
    <t>An American Tune : A Novel</t>
  </si>
  <si>
    <t>Mr. Tuba</t>
  </si>
  <si>
    <t>Helen and Martin Schwartz Lectures in Jewish Studies : Jewish Philosophy As a Guide to Life: Rosenzweig, Buber, Levinas, Wittgenstein</t>
  </si>
  <si>
    <t>On Railways Far Away</t>
  </si>
  <si>
    <t>Essential Peirce : Selected Philosophical Writings, 1893-1913</t>
  </si>
  <si>
    <t>Herman B Wells : The Promise of the American University</t>
  </si>
  <si>
    <t>Racing to Justice : Transforming Our Conceptions of Self and Other to Build an Inclusive Society</t>
  </si>
  <si>
    <t>From Text to Txting : New Media in the Classroom</t>
  </si>
  <si>
    <t>Claiming Society for God : Religious Movements and Social Welfare in Egypt, Israel, Italy, and the United States</t>
  </si>
  <si>
    <t>Earth Works : Selected Essays</t>
  </si>
  <si>
    <t>Blockbuster History in the New Russia : Movies, Memory, and Patriotism</t>
  </si>
  <si>
    <t>Strangers in the Wild Place : Refugees, Americans, and a German Town, 1945-1952</t>
  </si>
  <si>
    <t>The Métis of Senegal : Urban Life and Politics in French West Africa</t>
  </si>
  <si>
    <t>Africa and France : Postcolonial Cultures, Migration, and Racism</t>
  </si>
  <si>
    <t>Blacks in the Diaspora : Contemporary African American Literature: the Living Canon</t>
  </si>
  <si>
    <t>The Event</t>
  </si>
  <si>
    <t>New Routes for Diaspora Studies</t>
  </si>
  <si>
    <t>Tamil Folk Music As Dalit Liberation Theology</t>
  </si>
  <si>
    <t>African Migrations : Patterns and Perspectives</t>
  </si>
  <si>
    <t>African Expressive Cultures : Hip Hop Africa: New African Music in a Globalizing World</t>
  </si>
  <si>
    <t>The Culture of Colonialism : The Cultural Subjection of Ukaguru</t>
  </si>
  <si>
    <t>Buenas Noches, American Culture : Latina/O Aesthetics of Night</t>
  </si>
  <si>
    <t>Russia's People of Empire : Life Stories from Eurasia, 1500 to the Present</t>
  </si>
  <si>
    <t>Saharan Frontiers : Space and Mobility in Northwest Africa</t>
  </si>
  <si>
    <t>Pink and Blue : Telling the Boys from the Girls in America</t>
  </si>
  <si>
    <t>Behind the Smile, Second Edition : The Working Lives of Caribbean Tourism</t>
  </si>
  <si>
    <t>Contributions to Philosophy : (Of the Event)</t>
  </si>
  <si>
    <t>Shatterzone of Empires : Ethnicity, Identity, and Violence in the German, Habsburg, Russian, and Ottoman Borderlands</t>
  </si>
  <si>
    <t>Almost Worthy : The Poor, Paupers, and the Science of Charity in America, 1877-1917</t>
  </si>
  <si>
    <t>Quick Hits for Teaching with Technology : Successful Strategies by Award-Winning Teachers</t>
  </si>
  <si>
    <t>Al Capone and His American Boys : Memoirs of a Mobster's Wife</t>
  </si>
  <si>
    <t>Jewish Culture and Society in North Africa</t>
  </si>
  <si>
    <t>Historical Harpsichord Technique : Developing La douceur du toucher</t>
  </si>
  <si>
    <t>Everyday Life in Southeast Asia</t>
  </si>
  <si>
    <t>Pictures of Music Education</t>
  </si>
  <si>
    <t>Jokes and Targets</t>
  </si>
  <si>
    <t>Feminism, Sexuality, and the Return of Religion</t>
  </si>
  <si>
    <t>Defeating Lee : A History of the Second Corps, Army of the Potomac</t>
  </si>
  <si>
    <t>Question of Gender : Joan W. Scott's Critical Feminism</t>
  </si>
  <si>
    <t>Contemporary African Fashion</t>
  </si>
  <si>
    <t>African Diaspora and the Disciplines</t>
  </si>
  <si>
    <t>Stolen Childhood, Second Edition : Slave Youth in Nineteenth-Century America</t>
  </si>
  <si>
    <t>The End of the Holocaust</t>
  </si>
  <si>
    <t>Being Maasai, Becoming Indigenous : Postcolonial Politics in a Neoliberal World</t>
  </si>
  <si>
    <t>Learning, Teaching, and Musical Identity : Voices across Cultures</t>
  </si>
  <si>
    <t>Jane Campion : Authorship and Personal Cinema</t>
  </si>
  <si>
    <t>Edwin Rogers Embree : The Julius Rosenwald Fund, Foundation Philanthropy, and American Race                Relations</t>
  </si>
  <si>
    <t>Music and the Language of Love : Seventeenth-Century French Airs</t>
  </si>
  <si>
    <t>The Men Who Loved Trains : The Story of Men Who Battled Greed to Save an Ailing Industry</t>
  </si>
  <si>
    <t>Remembering, Second Edition : A Phenomenological Study</t>
  </si>
  <si>
    <t>A Prophetic Peace : Judaism, Religion, and Politics</t>
  </si>
  <si>
    <t>Alva Vanderbilt Belmont : Unlikely Champion of Women's Rights</t>
  </si>
  <si>
    <t>Wet Britches and Muddy Boots : A History of Travel in Victorian America</t>
  </si>
  <si>
    <t>The Glimpse Traveler</t>
  </si>
  <si>
    <t>Postcolonial Artists and Global Aesthetics : Postcolonial Artists and Global Aesthetics</t>
  </si>
  <si>
    <t>Musical Forces : Motion, Metaphor, and Meaning in Music</t>
  </si>
  <si>
    <t>Nationalist in the Viet Nam Wars : Memoirs of a Victim Turned Soldier</t>
  </si>
  <si>
    <t>The Anthropology of Extinction : Essays on Culture and Species Death</t>
  </si>
  <si>
    <t>Racial Imperatives : Discipline, Performativity, and Struggles against Subjection</t>
  </si>
  <si>
    <t>Rice Talks : Food and Community in a Vietnamese Town</t>
  </si>
  <si>
    <t>Surviving the Bosnian Genocide : The Women of Srebrenica Speak</t>
  </si>
  <si>
    <t>Expressive Intersections in Brahms : Essays in Analysis and Meaning</t>
  </si>
  <si>
    <t>Early Twentieth-Century Continental Philosophy</t>
  </si>
  <si>
    <t>Feminist Disability Studies</t>
  </si>
  <si>
    <t>West African Narratives of Slavery : Texts from Late Nineteenth- and Early Twentieth-Century Ghana</t>
  </si>
  <si>
    <t>Playing on the Edge : Sadomasochism, Risk, and Intimacy</t>
  </si>
  <si>
    <t>Kierkegaard and the Self before God : Anatomy of the Abyss</t>
  </si>
  <si>
    <t>Idolized : Music, Media, and Identity in American Idol</t>
  </si>
  <si>
    <t>Cities and Sovereignty : Identity Politics in Urban Spaces</t>
  </si>
  <si>
    <t>Mother Is Gold, Father Is Glass : Gender and Colonialism in a Yoruba Town</t>
  </si>
  <si>
    <t>Logic : The Question of Truth</t>
  </si>
  <si>
    <t>The Last Century of Sea Power : From Port Arthur to Chanak, 1894-1922</t>
  </si>
  <si>
    <t>The Community of Those Who Have Nothing in Common</t>
  </si>
  <si>
    <t>Belzec, Sobibor, Treblinka : The Operation Reinhard Death Camps</t>
  </si>
  <si>
    <t>Life Lessons through Storytelling : Children's Exploration of Ethics</t>
  </si>
  <si>
    <t>Il Trittico, Turandot, and Puccini's Late Style : Trittico, Turandot, and Puccini's Late Style</t>
  </si>
  <si>
    <t>Hollywood Gamers : Digital Convergence in the Film and Video Game Industries</t>
  </si>
  <si>
    <t>Science and the Spirit : A Pentecostal Engagement with the Sciences</t>
  </si>
  <si>
    <t>Being and Truth</t>
  </si>
  <si>
    <t>Arab Filmmakers of the Middle East : A Dictionary</t>
  </si>
  <si>
    <t>Conversations with Great Teachers</t>
  </si>
  <si>
    <t>Paul Ricoeur between Theology and Philosophy : Detour and Return</t>
  </si>
  <si>
    <t>Palestinian and Israeli Public Opinion : The Public Imperative in the Second Intifada</t>
  </si>
  <si>
    <t>How Colonialism Preempted Modernity in Africa</t>
  </si>
  <si>
    <t>100 Years of Pragmatism : William James's Revolutionary Philosophy</t>
  </si>
  <si>
    <t>New Authoritarianism in the Middle East and North Africa</t>
  </si>
  <si>
    <t>Guide to the Latin American Art Song Repertoire : An Annotated Catalog of Twentieth-Century Art Songs for Voice and Piano</t>
  </si>
  <si>
    <t>Palestinian Politics after Arafat : A Failed National Movement</t>
  </si>
  <si>
    <t>Monotheism and Tolerance : Recovering a Religion of Reason</t>
  </si>
  <si>
    <t>Ancient Greek Lyrics</t>
  </si>
  <si>
    <t>Censorship in South Asia : Cultural Regulation from Sedition to Seduction</t>
  </si>
  <si>
    <t>Victorian Investments : New Perspectives on Finance and Culture</t>
  </si>
  <si>
    <t>Sound Targets : American Soldiers and Music in the Iraq War</t>
  </si>
  <si>
    <t>New African Diaspora : The New African Immigrant Experience</t>
  </si>
  <si>
    <t>Genocides by the Oppressed : Subaltern Genocide in Theory and Practice</t>
  </si>
  <si>
    <t>European Union Explained : Institutions, Actors, Global Impact</t>
  </si>
  <si>
    <t>Language, Emotion, and Politics in South India : The Making of a Mother Tongue</t>
  </si>
  <si>
    <t>Youth and the City in the Global South</t>
  </si>
  <si>
    <t>Radical Evil and the Scarcity of Hope : Postsecular Meditations</t>
  </si>
  <si>
    <t>Gettysburg Heroes : Perfect Soldiers, Hallowed Ground</t>
  </si>
  <si>
    <t>From the Cult of Waste to the Trash Heap of History : The Politics of Waste in Socialist and Postsocialist Hungary</t>
  </si>
  <si>
    <t>Nazi Ancestral Proof : Genealogy, Racial Science, and the Final Solution</t>
  </si>
  <si>
    <t>Antisemitism, Christian Ambivalence, and the Holocaust</t>
  </si>
  <si>
    <t>Sacred Stories : Religion and Spirituality in Modern Russia</t>
  </si>
  <si>
    <t>Other Black Bostonians : West Indians in Boston, 1900-1950</t>
  </si>
  <si>
    <t>Musical Topic : Hunt, Military and Pastoral</t>
  </si>
  <si>
    <t>Generations and Globalization : Youth, Age, and Family in the New World Economy</t>
  </si>
  <si>
    <t>Revealing Whiteness : The Unconscious Habits of Racial Privilege</t>
  </si>
  <si>
    <t>Profits before People? : Ethical Standards and the Marketing of Prescription Drugs</t>
  </si>
  <si>
    <t>Hermeneutics at the Crossroads</t>
  </si>
  <si>
    <t>Gender and War in Twentieth-Century Eastern Europe</t>
  </si>
  <si>
    <t>Chuck Taylor, All Star : The True Story of the Man behind the Most Famous Athletic Shoe in History</t>
  </si>
  <si>
    <t>Reading Hegel's Phenomenology</t>
  </si>
  <si>
    <t>Battle of the Otranto Straits : Controlling the Gateway to the Adriatic in World War I</t>
  </si>
  <si>
    <t>Staging the War : American Drama and World War II</t>
  </si>
  <si>
    <t>Ring Out Freedom! : The Voice of Martin Luther King, Jr. and the Making of the Civil Rights                Movement</t>
  </si>
  <si>
    <t>Race and Racism in Continental Philosophy</t>
  </si>
  <si>
    <t>Religion and Hopi Life</t>
  </si>
  <si>
    <t>Women and Slavery in the French Antilles, 1635-1848</t>
  </si>
  <si>
    <t>Revealing Male Bodies</t>
  </si>
  <si>
    <t>Introduction to Documentary</t>
  </si>
  <si>
    <t>Temples for Tomorrow : Looking Back at the Harlem Renaissance</t>
  </si>
  <si>
    <t>Sacred Sites and the Colonial Encounter : A History of Meaning and Memory in Ghana</t>
  </si>
  <si>
    <t>Irish Immigrants in New York City, 1945-1995</t>
  </si>
  <si>
    <t>Companion to Heidegger's Contributions to Philosophy</t>
  </si>
  <si>
    <t>Understanding Priming Effects in Social Psychology</t>
  </si>
  <si>
    <t>Screen-Smart Parenting : How to Find Balance and Benefit in Your Child's Use of Social Media, Apps, and Digital Devices</t>
  </si>
  <si>
    <t>Developing Vocabulary and Oral Language in Young Children</t>
  </si>
  <si>
    <t>Best Practices in Literacy Instruction, Fifth Edition</t>
  </si>
  <si>
    <t>Bayesian Statistics for the Social Sciences</t>
  </si>
  <si>
    <t>Developing Word Recognition</t>
  </si>
  <si>
    <t>Bright Kids Who Can't Keep Up : Help Your Child Overcome Slow Processing Speed and Succeed in a Fast-Paced World</t>
  </si>
  <si>
    <t>The Anger Management Workbook : Use the STOP Method to Replace Destructive Responses with Constructive Behavior</t>
  </si>
  <si>
    <t>Handbook of Professional Development in Education : Successful Models and Practices, PreK-12</t>
  </si>
  <si>
    <t>Explaining Reading, Third Edition : A Resource for Explicit Teaching of the Common Core Standards</t>
  </si>
  <si>
    <t>Dual-Process Theories of the Social Mind</t>
  </si>
  <si>
    <t>Designing Early Literacy Programs : Differentiated Instruction in Preschool and Kindergarten</t>
  </si>
  <si>
    <t>Feminist Evaluation and Research : Theory and Practice</t>
  </si>
  <si>
    <t>Clinical Practice of Pediatric Psychology</t>
  </si>
  <si>
    <t>The ABCs of Curriculum-Based Evaluation : A Practical Guide to Effective Decision Making</t>
  </si>
  <si>
    <t>Resilient Classrooms, Second Edition : Creating Healthy Environments for Learning</t>
  </si>
  <si>
    <t>The Positive Side of Negative Emotions</t>
  </si>
  <si>
    <t>Your Defiant Teen : 10 Steps to Resolve Conflict and Rebuild Your Relationship</t>
  </si>
  <si>
    <t>Word Journeys, Second Edition : Assessment-Guided Phonics, Spelling, and Vocabulary Instruction</t>
  </si>
  <si>
    <t>Promoting Social Skills in the Inclusive Classroom</t>
  </si>
  <si>
    <t>Diagnosis and Correction of Reading Problems, Second Edition</t>
  </si>
  <si>
    <t>Promoting School Readiness and Early Learning : Implications of Developmental Research for Practice</t>
  </si>
  <si>
    <t>Counseling Cops : What Clinicians Need to Know</t>
  </si>
  <si>
    <t>From Fluency to Comprehension : Powerful Instruction Through Authentic Reading</t>
  </si>
  <si>
    <t>Handbook of Language and Literacy, Second Edition : Development and Disorders</t>
  </si>
  <si>
    <t>Handbook of Evidence-Based Practices for Emotional and Behavioral Disorders : Applications in Schools</t>
  </si>
  <si>
    <t>The Circle of Security Intervention : Enhancing Attachment in Early Parent-Child Relationships</t>
  </si>
  <si>
    <t>Best Practices in Early Literacy Instruction</t>
  </si>
  <si>
    <t>Everyday Talk, Second Edition : Building and Reflecting Identities</t>
  </si>
  <si>
    <t>Controlling Your Drinking, Second Edition : Tools to Make Moderation Work for You</t>
  </si>
  <si>
    <t>Talk That Teaches : Using Strategic Talk to Help Students Achieve the Common Core</t>
  </si>
  <si>
    <t>Your Defiant Child : 8 Steps to Better Behavior</t>
  </si>
  <si>
    <t>Human Bonding : The Science of Affectional Ties</t>
  </si>
  <si>
    <t>Take Back Your Marriage, Second Edition : Sticking Together in a World That Pulls Us Apart</t>
  </si>
  <si>
    <t>Handbook of Research-Based Practice in Early Education</t>
  </si>
  <si>
    <t>Handbook of Cognition and Emotion</t>
  </si>
  <si>
    <t>Handbook of the Psychology of Religion and Spirituality, Second Edition</t>
  </si>
  <si>
    <t>Ostracism : The Power of Silence</t>
  </si>
  <si>
    <t>Handbook of Effective Literacy Instruction : Research-Based Practice K-8</t>
  </si>
  <si>
    <t>Bringing Words to Life, Second Edition : Robust Vocabulary Instruction</t>
  </si>
  <si>
    <t>Daily Behavior Report Cards : An Evidence-Based System of Assessment and Intervention</t>
  </si>
  <si>
    <t>Emotion Regulation in Children and Adolescents : A Practitioner's Guide</t>
  </si>
  <si>
    <t>Handbook of Learning Disabilities, Second Edition</t>
  </si>
  <si>
    <t>RTI Team Building : Effective Collaboration and Data-Based Decision Making</t>
  </si>
  <si>
    <t>Smart but Scattered Teens : The Executive Skills Program for Helping Teens Reach Their Potential</t>
  </si>
  <si>
    <t>Teaching with the Common Core Standards for English Language Arts, Grades 3-5</t>
  </si>
  <si>
    <t>Skills Training for Struggling Kids : Promoting Your Child's Behavioral, Emotional, Academic, and Social Development</t>
  </si>
  <si>
    <t>Response to Intervention and Precision Teaching : Creating Synergy in the Classroom</t>
  </si>
  <si>
    <t>The Literacy Coach's Handbook : A Guide to Research-Based Practice</t>
  </si>
  <si>
    <t>Close Reading of Informational Texts : Assessment-Driven Instruction in Grades 3-8</t>
  </si>
  <si>
    <t>Teaching with the Common Core Standards for English Language Arts, PreK-2</t>
  </si>
  <si>
    <t>Maximizing Motivation for Literacy Learning : Grades K-6</t>
  </si>
  <si>
    <t>Assessment for Intervention, Second Edition : A Problem-Solving Approach</t>
  </si>
  <si>
    <t>Treating Sex Offenders : An Evidence-Based Manual</t>
  </si>
  <si>
    <t>Teaching Strategic Processes in Reading, Second Edition</t>
  </si>
  <si>
    <t>Reading Assessment in an RTI Framework</t>
  </si>
  <si>
    <t>The Psychology of Prayer : A Scientific Approach</t>
  </si>
  <si>
    <t>Handbook of Temperament</t>
  </si>
  <si>
    <t>The Stress Less Workbook : Simple Strategies to Relieve Pressure, Manage Commitments, and Minimize Conflicts</t>
  </si>
  <si>
    <t>Transforming Writing Instruction in the Digital Age : Techniques for Grades 5-12</t>
  </si>
  <si>
    <t>Enhancing Instructional Problem Solving : An Efficient System for Assisting Struggling Learners</t>
  </si>
  <si>
    <t>Vocabulary Instruction : Research to Practice</t>
  </si>
  <si>
    <t>RTI for Reading at the Secondary Level : Recommended Literacy Practices and Remaining Questions</t>
  </si>
  <si>
    <t>Inclusive Instruction : Evidence-Based Practices for Teaching Students with Disabilities</t>
  </si>
  <si>
    <t>Fluency Instruction, Second Edition : Research-Based Best Practices</t>
  </si>
  <si>
    <t>Effective Read-Alouds for Early Literacy : A Teacher's Guide for PreK-1</t>
  </si>
  <si>
    <t>The Research Journey : Introduction to Inquiry</t>
  </si>
  <si>
    <t>RTI Applications, Volume 1 : Academic and Behavioral Interventions</t>
  </si>
  <si>
    <t>The Construction of the Self, Second Edition : Developmental and Sociocultural Foundations</t>
  </si>
  <si>
    <t>Program Evaluation Theory and Practice : A Comprehensive Guide</t>
  </si>
  <si>
    <t>Academic and Behavior Supports for At-Risk Students : Tier 2 Interventions</t>
  </si>
  <si>
    <t>Introduction to Remote Sensing, Fifth Edition</t>
  </si>
  <si>
    <t>Handbook of Developmental Research Methods</t>
  </si>
  <si>
    <t>Contemporary Intellectual Assessment, Third Edition : Theories, Tests, and Issues</t>
  </si>
  <si>
    <t>School Psychology for the 21st Century, Second Edition : Foundations and Practices</t>
  </si>
  <si>
    <t>Making Assessment Matter : Using Test Results to Differentiate Reading Instruction</t>
  </si>
  <si>
    <t>Sex Matters for Women, Second Edition : A Complete Guide to Taking Care of Your Sexual Self</t>
  </si>
  <si>
    <t>Renegotiating Family Relationships, Second Edition : Divorce, Child Custody, and Mediation</t>
  </si>
  <si>
    <t>Positive Behavior Support in Secondary Schools : A Practical Guide</t>
  </si>
  <si>
    <t>Handbook of Research Methods for Studying Daily Life</t>
  </si>
  <si>
    <t>Cognitive Neuroscience of Attention, Second Edition</t>
  </si>
  <si>
    <t>Motivational Interviewing in Social Work Practice</t>
  </si>
  <si>
    <t>GIS and Public Health, Second Edition</t>
  </si>
  <si>
    <t>Social Work Practice with Children, Third Edition</t>
  </si>
  <si>
    <t>Motivational Interviewing for Effective Classroom Management : The Classroom Check-Up</t>
  </si>
  <si>
    <t>Qualitative Inquiry in Clinical and Educational Settings</t>
  </si>
  <si>
    <t>Applied Meta-Analysis for Social Science Research</t>
  </si>
  <si>
    <t>Friendships in Childhood and Adolescence</t>
  </si>
  <si>
    <t>Social Skills Training for Children with Asperger Syndrome and High-Functioning Autism</t>
  </si>
  <si>
    <t>Handbook of Adolescent Literacy Research</t>
  </si>
  <si>
    <t>Differentiated Reading Instruction in Grades 4 And 5 : Strategies and Resources</t>
  </si>
  <si>
    <t>35 Strategies for Guiding Readers through Informational Texts</t>
  </si>
  <si>
    <t>Making Maps, Second Edition : A Visual Guide to Map Design for GIS</t>
  </si>
  <si>
    <t>Cognitive Methods in Social Psychology</t>
  </si>
  <si>
    <t>Effective Instruction for English Language Learners : Supporting Text-Based Comprehension and Communication Skills</t>
  </si>
  <si>
    <t>The Effective Teacher's Guide : 50 Ways to Engage Students and Promote Interactive Learning</t>
  </si>
  <si>
    <t>Dare to Differentiate : Vocabulary Strategies for All Students</t>
  </si>
  <si>
    <t>Disorganized Attachment and Caregiving</t>
  </si>
  <si>
    <t>Handbook of Reading Interventions</t>
  </si>
  <si>
    <t>Socioemotional Development in Cultural Context</t>
  </si>
  <si>
    <t>Real Talk in Elementary Classrooms : Effective Oral Language Practice</t>
  </si>
  <si>
    <t>Cognitive Therapy for Adolescents in School Settings</t>
  </si>
  <si>
    <t>Becoming Who We Are : Temperament and Personality in Development</t>
  </si>
  <si>
    <t>Popularity in the Peer System</t>
  </si>
  <si>
    <t>The Mindful Way Through Anxiety : Break Free from Chronic Worry and Reclaim Your Life</t>
  </si>
  <si>
    <t>Reading Instruction for Diverse Classrooms : Research-Based, Culturally Responsive Practice</t>
  </si>
  <si>
    <t>A Geography of Russia and Its Neighbors</t>
  </si>
  <si>
    <t>Handbook of Early Literacy Research</t>
  </si>
  <si>
    <t>Working with Adolescents : A Guide for Practitioners</t>
  </si>
  <si>
    <t>Explicit Instruction : Effective and Efficient Teaching</t>
  </si>
  <si>
    <t>Managing Challenging Behaviors in Schools : Research-Based Strategies That Work</t>
  </si>
  <si>
    <t>Language and Literacy Development in Bilingual Settings</t>
  </si>
  <si>
    <t>Global Shift, Sixth Edition : Mapping the Changing Contours of the World Economy</t>
  </si>
  <si>
    <t>Evaluation Essentials from A to Z : From A to Z</t>
  </si>
  <si>
    <t>Primer of Public Relations Research, Second Edition</t>
  </si>
  <si>
    <t>Matching Books and Readers : Helping English Learners in Grades K-6</t>
  </si>
  <si>
    <t>High-Functioning Autism/Asperger Syndrome in Schools : Assessment and Intervention</t>
  </si>
  <si>
    <t>Rethinking the Power of Maps</t>
  </si>
  <si>
    <t>Helping Bereaved Children : A Handbook for Practitioners</t>
  </si>
  <si>
    <t>The Education of English Language Learners : Research to Practice</t>
  </si>
  <si>
    <t>Diagnostic Measurement : Theory, Methods, and Applications</t>
  </si>
  <si>
    <t>Medical Geography, Third Edition</t>
  </si>
  <si>
    <t>Promoting Early Reading : Research, Resources, and Best Practices</t>
  </si>
  <si>
    <t>Principles of Map Design</t>
  </si>
  <si>
    <t>Responding to Problem Behavior in Schools : The Behavior Education Program</t>
  </si>
  <si>
    <t>The Development of Shyness and Social Withdrawal</t>
  </si>
  <si>
    <t>Oral History for the Qualitative Researcher : Choreographing the Story</t>
  </si>
  <si>
    <t>The Promise of Response to Intervention : Evaluating Current Science and Practice</t>
  </si>
  <si>
    <t>Executive Skills in Children and Adolescents : A Practical Guide to Assessment and Intervention</t>
  </si>
  <si>
    <t>Teaching English Language Learners : Literacy Strategies and Resources for K-6</t>
  </si>
  <si>
    <t>The Mindfulness Solution : Everyday Practices for Everyday Problems</t>
  </si>
  <si>
    <t>Handbook of Adult Resilience</t>
  </si>
  <si>
    <t>The Psychology of Goals</t>
  </si>
  <si>
    <t>Theory Construction and Model-Building Skills : A Practical Guide for Social Scientists</t>
  </si>
  <si>
    <t>Vulnerability to Psychopathology : Risk Across the Lifespan</t>
  </si>
  <si>
    <t>Adolescents and Adults with Learning Disabilities and ADHD : Assessment and Accommodation</t>
  </si>
  <si>
    <t>Comprehension Across the Curriculum : Perspectives and Practices K-12</t>
  </si>
  <si>
    <t>Metacognition, Strategy Use, and Instruction</t>
  </si>
  <si>
    <t>Practical Handbook of School Psychology : Effective Practices for the 21st Century</t>
  </si>
  <si>
    <t>Collaborative Home/School Interventions : Evidence-Based Solutions for Emotional, Behavioral, and Academic Problems</t>
  </si>
  <si>
    <t>The Craft of Life Course Research</t>
  </si>
  <si>
    <t>The Psychology of Religion : An Empirical Approach</t>
  </si>
  <si>
    <t>Emergent Literacy and Language Development : Promoting Learning in Early Childhood</t>
  </si>
  <si>
    <t>The Self-Conscious Emotions : Theory and Research</t>
  </si>
  <si>
    <t>Social Cognition : Understanding Self and Others</t>
  </si>
  <si>
    <t>The Sustainable Development Paradox : Urban Political Economy in the United States and Europe</t>
  </si>
  <si>
    <t>Teaching Mathematics to Middle School Students with Learning Difficulties</t>
  </si>
  <si>
    <t>School-Based Crisis Intervention : Preparing All Personnel to Assist</t>
  </si>
  <si>
    <t>Literacy Instruction for English Language Learners, Pre-K-2</t>
  </si>
  <si>
    <t>Handbook of Research in Emotional and Behavioral Disorders</t>
  </si>
  <si>
    <t>Dyadic Data Analysis</t>
  </si>
  <si>
    <t>Handbook of Attachment : Theory, Research, and Clinical Applications</t>
  </si>
  <si>
    <t>Handbook of Personality : Theory and Research</t>
  </si>
  <si>
    <t>Understanding Peer Influence in Children and Adolescents</t>
  </si>
  <si>
    <t>The Social Psychology of Gender : How Power and Intimacy Shape Gender Relations</t>
  </si>
  <si>
    <t>First Impressions</t>
  </si>
  <si>
    <t>Comprehension Assessment : A Classroom Guide</t>
  </si>
  <si>
    <t>Handbook of Emergent Methods</t>
  </si>
  <si>
    <t>Women's Mental Health : A Comprehensive Textbook</t>
  </si>
  <si>
    <t>Treating Explosive Kids : The Collaborative Problem-Solving Approach</t>
  </si>
  <si>
    <t>The Psychology of Stereotyping</t>
  </si>
  <si>
    <t>Handbook of Psychological and Educational Assessment of Children : Personality, Behavior, and Context</t>
  </si>
  <si>
    <t>African American Family Life : Ecological and Cultural Diversity</t>
  </si>
  <si>
    <t>Adult Attachment : Theory, Research, and Clinical Implications</t>
  </si>
  <si>
    <t>The Social Psychology of Good and Evil</t>
  </si>
  <si>
    <t>The Psychology of Gender</t>
  </si>
  <si>
    <t>Protecting the Self : Defense Mechanisms in Action</t>
  </si>
  <si>
    <t>Peer Harassment in School : The Plight of the Vulnerable and Victimized</t>
  </si>
  <si>
    <t>Learning Disabilities : From Identification to Intervention</t>
  </si>
  <si>
    <t>Introduction to Addictive Behaviors</t>
  </si>
  <si>
    <t>Personality in Adulthood, Second Edition : A Five-Factor Theory Perspective</t>
  </si>
  <si>
    <t>Contemporary American Trauma Narratives</t>
  </si>
  <si>
    <t>Transition Towards Revolution and Reform : The Arab Spring Realised?</t>
  </si>
  <si>
    <t>Kings, Lords and Men in Scotland and Britain, 1300â â1625 : Essays in Honour of Jenny Wormald</t>
  </si>
  <si>
    <t>The Cultural Politics of Emotion</t>
  </si>
  <si>
    <t>The End of Phenomenology : Metaphysics and the New Realism</t>
  </si>
  <si>
    <t>TV Crime Drama</t>
  </si>
  <si>
    <t>Derrida's Voice and Phenomenon</t>
  </si>
  <si>
    <t>Scotland’s Choices : The Referendum and What Happens Afterwards</t>
  </si>
  <si>
    <t>The Arabic Language</t>
  </si>
  <si>
    <t>Literature of Pity</t>
  </si>
  <si>
    <t>The Edinburgh Introduction to Studying English Literature</t>
  </si>
  <si>
    <t>Language and Identity in Modern Egypt</t>
  </si>
  <si>
    <t>The Ethics of Deconstruction : Derrida and Levinas</t>
  </si>
  <si>
    <t>Iconoclastic Theology : Gilles Deleuze and the Secretion of Atheism</t>
  </si>
  <si>
    <t>New Taiwanese Cinema in Focus : Moving Within and Beyond the Frame</t>
  </si>
  <si>
    <t>Defining Greek Narrative</t>
  </si>
  <si>
    <t>Onto-Cartography : An Ontology of Machines and Media</t>
  </si>
  <si>
    <t>Prisons in the Late Ottoman Empire : Microcosms of Modernity</t>
  </si>
  <si>
    <t>Adventures in Transcendental Materialism : Dialogues with Contemporary Thinkers</t>
  </si>
  <si>
    <t>The  Paul de Man Notebooks</t>
  </si>
  <si>
    <t>War Power, Police Power</t>
  </si>
  <si>
    <t>Lacan Deleuze Badiou</t>
  </si>
  <si>
    <t>Muslim Spain Reconsidered : From 711 to 1502</t>
  </si>
  <si>
    <t>The Sociolinguistics of Writing</t>
  </si>
  <si>
    <t>The End of the Roman Republic 146 to 44 BC : Conquest and Crisis</t>
  </si>
  <si>
    <t>Deleuze's Difference and Repetition : An Edinburgh Philosophical Guide</t>
  </si>
  <si>
    <t>The  Modernist Party</t>
  </si>
  <si>
    <t>The Derrida Wordbook</t>
  </si>
  <si>
    <t>Travellers' Tales of Wonder : Chatwin, Naipaul, Sebald</t>
  </si>
  <si>
    <t>Global Solidarity</t>
  </si>
  <si>
    <t>European Union and South Korea : the Legal Framework for Strengthening Trade, Economic and Political Relations</t>
  </si>
  <si>
    <t>Foucault's 'History of Sexuality Volume I, The Will to Knowledge' : An Edinburgh Philosophical Guide</t>
  </si>
  <si>
    <t>Deleuze and Research Methodologies</t>
  </si>
  <si>
    <t>Foucault's Archaeology : Science and Transformation</t>
  </si>
  <si>
    <t>From Rome to Byzantium AD 363 to 565 : The Transformation of Ancient Rome</t>
  </si>
  <si>
    <t>Modernism and Magic : Experiments with Spiritualism, Theosophy and the Occult</t>
  </si>
  <si>
    <t>Spanish Horror Film</t>
  </si>
  <si>
    <t>American Autobiography</t>
  </si>
  <si>
    <t>American Smart Cinema</t>
  </si>
  <si>
    <t>Virilio and Visual Culture</t>
  </si>
  <si>
    <t>Romantic Literature and Postcolonial Studies</t>
  </si>
  <si>
    <t>King and Court in Ancient Persia 559 to 331 BCE</t>
  </si>
  <si>
    <t>Deleuze and Race</t>
  </si>
  <si>
    <t>English Historical Sociolinguistics</t>
  </si>
  <si>
    <t>Poetic Language : Theory and Practice from the Renaissance to the Present</t>
  </si>
  <si>
    <t>Cosmopolitanisms in Muslim Contexts : Perspectives from the Past</t>
  </si>
  <si>
    <t>Greek Notions of the Past in the Archaic and Classical Eras : History without Historians</t>
  </si>
  <si>
    <t>Re-imagining the 'Dark Continent' in fin de siÃ¨cle Literature</t>
  </si>
  <si>
    <t>Gender, Nation, and the Arabic Novel : Egypt, 1892-2008</t>
  </si>
  <si>
    <t>Deleuze: A Philosophy of the Event</t>
  </si>
  <si>
    <t>Shari'ah Governance in Islamic Banks</t>
  </si>
  <si>
    <t>Legal, Regulatory and Governance Issues in Islamic Finance</t>
  </si>
  <si>
    <t>Imperial Rome AD 193 to 284 : The Critical Century</t>
  </si>
  <si>
    <t>History and Becoming : Deleuze's Philosophy of Creativity</t>
  </si>
  <si>
    <t>Agamben and Colonialism</t>
  </si>
  <si>
    <t>Essays on Deleuze</t>
  </si>
  <si>
    <t>Deleuze's Literary Clinic : Criticism and the Politics of Symptoms</t>
  </si>
  <si>
    <t>Oman, Culture and Diplomacy : Culture and Diplomacy</t>
  </si>
  <si>
    <t>The Victorian Gothic : An Edinburgh Companion</t>
  </si>
  <si>
    <t>An Introduction to Old English</t>
  </si>
  <si>
    <t>Deleuze and Film</t>
  </si>
  <si>
    <t>Djuna Barnes and Affective Modernism</t>
  </si>
  <si>
    <t>Modernist Literature</t>
  </si>
  <si>
    <t>Veering : A Theory of Literature</t>
  </si>
  <si>
    <t>The Emergence of Minorities in the Middle East : The Politics of Community in French Mandate Syria</t>
  </si>
  <si>
    <t>Music Video and the Politics of Representation</t>
  </si>
  <si>
    <t>Seljuqs : Politics, Society and Culture</t>
  </si>
  <si>
    <t>Creating Worldviews : Metaphor, Ideology and Language</t>
  </si>
  <si>
    <t>Contemporary Arab Broadcast Media</t>
  </si>
  <si>
    <t>Framing Pictures : Film and the Visual Arts</t>
  </si>
  <si>
    <t>Levinas and the Postcolonial : Race, Nation, Other</t>
  </si>
  <si>
    <t>The New Extremism in Cinema : From France to Europe</t>
  </si>
  <si>
    <t>A History of Everyday Life in Medieval Scotland</t>
  </si>
  <si>
    <t>Hannah Arendt and Political Theory : Challenging the Tradition</t>
  </si>
  <si>
    <t>Democracy and Political Violence</t>
  </si>
  <si>
    <t>John Milton's 'Paradise Lost' : A Reading Guide</t>
  </si>
  <si>
    <t>Contemporary Action Cinema</t>
  </si>
  <si>
    <t>Intercultural Communication : A Critical Introduction</t>
  </si>
  <si>
    <t>Politics of the Gift : Exchanges in Poststructuralism</t>
  </si>
  <si>
    <t>Medieval Literature 1300-1500</t>
  </si>
  <si>
    <t>Victorian Literature</t>
  </si>
  <si>
    <t>Research Methods in Theatre and Performance</t>
  </si>
  <si>
    <t>Blasted Literature : Victorian Political Fiction and the Shock of Modernism</t>
  </si>
  <si>
    <t>What if Derrida was wrong about Saussure?</t>
  </si>
  <si>
    <t>In Lady Audley's Shadow : Mary Elizabeth Braddon and Victorian Literary Genres</t>
  </si>
  <si>
    <t>Young British Muslims : Identity, Culture, Politics and the Media</t>
  </si>
  <si>
    <t>Aesthetics Aâ âZ</t>
  </si>
  <si>
    <t>John Webster, Renaissance Dramatist</t>
  </si>
  <si>
    <t>Understanding Torture</t>
  </si>
  <si>
    <t>The Deleuze Dictionary Revised Edition</t>
  </si>
  <si>
    <t>Contemporary British Drama</t>
  </si>
  <si>
    <t>Cultural Identity and Political Ethics</t>
  </si>
  <si>
    <t>Foreign Policy of Lyndon B. Johnson : The United States and the World, 1963-69</t>
  </si>
  <si>
    <t>From Agamben to Zizek : Contemporary Critical Theorists</t>
  </si>
  <si>
    <t>The Edinburgh Companion to Robert Louis Stevenson</t>
  </si>
  <si>
    <t>Deleuzian Fabulation and the Scars of History</t>
  </si>
  <si>
    <t>Virginia Woolf and the Politics of Language</t>
  </si>
  <si>
    <t>The Edinburgh Companion to the Gaelic Language</t>
  </si>
  <si>
    <t>The Gods of Ancient Greece : Identities and Transformations</t>
  </si>
  <si>
    <t>Literature, Cinema and Politics 1930-1945 : Reading Between the Frames</t>
  </si>
  <si>
    <t>Nietzsche's Thus Spoke Zarathustra : An Edinburgh Philosophical Guide</t>
  </si>
  <si>
    <t>Death-Drive : Freudian Hauntings in Literature and Art</t>
  </si>
  <si>
    <t>Romantics and Modernists in British Cinema</t>
  </si>
  <si>
    <t>Roman Imperialism</t>
  </si>
  <si>
    <t>Postcolonial Agency : Critique and Constructivism</t>
  </si>
  <si>
    <t>Dictionary of American Government and Politics</t>
  </si>
  <si>
    <t>Brokeback Mountain</t>
  </si>
  <si>
    <t>Sitcom</t>
  </si>
  <si>
    <t>The Government of Scotland : Public Policy Making after Devolution</t>
  </si>
  <si>
    <t>American Culture in the 1990s</t>
  </si>
  <si>
    <t>Not Half No End : Militantly Melancholic Essays in Memory of Jacques Derrida</t>
  </si>
  <si>
    <t>Arabic Sociolinguistics</t>
  </si>
  <si>
    <t>Language and Identities</t>
  </si>
  <si>
    <t>Phenomenology or Deconstruction? : The Question of Ontology in Maurice Merleau-Ponty, Paul Ricoeur and Jean-Luc Nancy</t>
  </si>
  <si>
    <t>Humboldt, Worldview and Language</t>
  </si>
  <si>
    <t>Introducing Sociolinguistics</t>
  </si>
  <si>
    <t>Chinese Martial Arts Cinema : The Wuxia Tradition</t>
  </si>
  <si>
    <t>American Culture in the 1970s</t>
  </si>
  <si>
    <t>American Culture in the 1920s</t>
  </si>
  <si>
    <t>Victorian Literature and Postcolonial Studies</t>
  </si>
  <si>
    <t>The  Provisional Irish Republican Army and the Morality of Terrorism</t>
  </si>
  <si>
    <t>Deleuze and Queer Theory</t>
  </si>
  <si>
    <t>Renaissance Literature</t>
  </si>
  <si>
    <t>Masculinity and Popular Television</t>
  </si>
  <si>
    <t>Introduction to Japanese Horror Film</t>
  </si>
  <si>
    <t>The European Union</t>
  </si>
  <si>
    <t>Deleuze and Memorial Culture : Desire, Singular Memory and the Politics of Trauma</t>
  </si>
  <si>
    <t>American Culture in the 1940s</t>
  </si>
  <si>
    <t>Asian American Literature</t>
  </si>
  <si>
    <t>Scottish Independence and the Idea of Britain : From the Picts to Alexander III</t>
  </si>
  <si>
    <t>Neo-Liberal Ideology : History, Concepts and Policies</t>
  </si>
  <si>
    <t>About Time : Narrative, Fiction and the Philosophy of Time</t>
  </si>
  <si>
    <t>Cosmetics in Shakespearean and Renaissance Drama</t>
  </si>
  <si>
    <t>American Culture in the 1950s</t>
  </si>
  <si>
    <t>Victoriana - Histories, Fictions, Criticism : Histories, Fictions, Criticism</t>
  </si>
  <si>
    <t>Nationalism and Ethnosymbolism : History, Culture and Ethnicity in the Formation of Nations</t>
  </si>
  <si>
    <t>Discourse and Identity</t>
  </si>
  <si>
    <t>Traditions in World Cinema</t>
  </si>
  <si>
    <t>Women and the Fatimids in the World of Islam</t>
  </si>
  <si>
    <t>Athenian Democracy : A Sourcebook</t>
  </si>
  <si>
    <t>Bloomsbury Publishing</t>
  </si>
  <si>
    <t>The Architecture of David Lynch</t>
  </si>
  <si>
    <t>Shakespeare and Religion</t>
  </si>
  <si>
    <t>Byzantium and the Crusades</t>
  </si>
  <si>
    <t>Sigur Rós's ( )</t>
  </si>
  <si>
    <t>Barack Obama's Post-American Foreign Policy : The Limits of Engagement</t>
  </si>
  <si>
    <t>The Wine Trade in Medieval Europe 1000-1500</t>
  </si>
  <si>
    <t>Jonathan Franzen at the End of Postmodernism</t>
  </si>
  <si>
    <t>The Body in Biblical, Christian and Jewish Texts</t>
  </si>
  <si>
    <t>St Thomas Aquinas</t>
  </si>
  <si>
    <t>Love Objects : Emotion, Design and Material Culture</t>
  </si>
  <si>
    <t>South Africa</t>
  </si>
  <si>
    <t>These Are the Generations : Identity, Promise, and the 'Toledot' Formula</t>
  </si>
  <si>
    <t>Pragmatic Syntax</t>
  </si>
  <si>
    <t>Kanye West's My Beautiful Dark Twisted Fantasy</t>
  </si>
  <si>
    <t>Sonic Possible Worlds : Hearing the Continuum of Sound</t>
  </si>
  <si>
    <t>Adaptation Theory and Criticism : Postmodern Literature and Cinema in the Usa</t>
  </si>
  <si>
    <t>Critical Narrative As Pedagogy</t>
  </si>
  <si>
    <t>Artaud's Theatre of Cruelty</t>
  </si>
  <si>
    <t>Looking at Medea : Essays and a Translation of Euripides' Tragedy</t>
  </si>
  <si>
    <t>Costumes for the Stage : A Complete Handbook for Every Kind of Play</t>
  </si>
  <si>
    <t>Long and Winding Roads : The Evolving Artistry of the Beatles</t>
  </si>
  <si>
    <t>Beach Boys' Smile</t>
  </si>
  <si>
    <t>The Animal Catalyst : Towards Ahuman Theory</t>
  </si>
  <si>
    <t>Values in Education</t>
  </si>
  <si>
    <t>Perspectives on World War I Poetry</t>
  </si>
  <si>
    <t>Let's Talk about Love : Why Other People Have Such Bad Taste</t>
  </si>
  <si>
    <t>Eco-Aesthetics : Art, Literature and Architecture in a Period of Climate Change</t>
  </si>
  <si>
    <t>Musical Theatre Auditions and Casting : A Performer's Guide Viewed from Both Sides of the Audition Table</t>
  </si>
  <si>
    <t>War : A Short History</t>
  </si>
  <si>
    <t>Financing Human Development in Africa, Asia and the Middle East</t>
  </si>
  <si>
    <t>MacBeth : The State of Play</t>
  </si>
  <si>
    <t>The Semiotics of Drink and Drinking</t>
  </si>
  <si>
    <t>Incorporated Servanthood : Commitment and Discipleship in the Gospel of Matthew</t>
  </si>
  <si>
    <t>The History of the Jewish People in the Age of Jesus Christ : Volume 3.ii and Index</t>
  </si>
  <si>
    <t>The History of the Jewish People in the Age of Jesus Christ: Volume 2</t>
  </si>
  <si>
    <t>The History of the Jewish People in the Age of Jesus Christ: Volume 1</t>
  </si>
  <si>
    <t>The History of the Jewish People in the Age of Jesus Christ : Volume 3.i</t>
  </si>
  <si>
    <t>Dostoevsky's the Brothers Karamazov : Dostoevsky's the Brothers Karamazov</t>
  </si>
  <si>
    <t>Single Currency and European Citizenship : Unveiling the Other Side of the Coin</t>
  </si>
  <si>
    <t>Attitudes to Gentiles in Ancient Judaism and Early Christianity</t>
  </si>
  <si>
    <t>The Earliest Christian Meeting Places : Almost Exclusively Houses?</t>
  </si>
  <si>
    <t>Fashion and Age : Dress, the Body and Later Life</t>
  </si>
  <si>
    <t>Romeo and Juliet: Language and Writing</t>
  </si>
  <si>
    <t>Victorian Theatricals</t>
  </si>
  <si>
    <t>Salvation As Praxis : A Practical Theology of Salvation for a Multi-Faith World</t>
  </si>
  <si>
    <t>Shakespeare's Hamlet : The Relationship Between Text and Film</t>
  </si>
  <si>
    <t>Class and the College Classroom : Essays on Teaching</t>
  </si>
  <si>
    <t>The Methuen Drama Dictionary of the Theatre</t>
  </si>
  <si>
    <t>Boer War : London to Ladysmith via Pretoria and Ian Hamilton's March</t>
  </si>
  <si>
    <t>Religious Life of Dress : Global Fashion and Faith</t>
  </si>
  <si>
    <t>The Iliad</t>
  </si>
  <si>
    <t>Asclepius : A Secret Discourse of Hermes Trismegistus</t>
  </si>
  <si>
    <t>Cicero : Politics and Persuasion in Ancient Rome</t>
  </si>
  <si>
    <t>Out of the Cold : The Cold War and Its Legacy</t>
  </si>
  <si>
    <t>Virgil's Garden : The Nature of Bucolic Space</t>
  </si>
  <si>
    <t>Theorising Performance : Greek Drama, Cultural History and Critical Practice</t>
  </si>
  <si>
    <t>The Sophists : An Introduction</t>
  </si>
  <si>
    <t>New Phenomenology : A Philosophical Introduction</t>
  </si>
  <si>
    <t>The Art of Living : The Stoics on the Nature and Function of Philosophy</t>
  </si>
  <si>
    <t>Philosophy of Mind: the Key Thinkers</t>
  </si>
  <si>
    <t>On the Arab Revolts and the Iranian Revolution : Power and Resistance Today</t>
  </si>
  <si>
    <t>Self-Determined Learning : Heutagogy in Action</t>
  </si>
  <si>
    <t>Ten Lessons in Theory : An Introduction to Theoretical Writing</t>
  </si>
  <si>
    <t>Curious Incident of the Dog in the Night-Time : The Play</t>
  </si>
  <si>
    <t>Body Style</t>
  </si>
  <si>
    <t>Irigaray, Incarnation and Contemporary Women's Fiction</t>
  </si>
  <si>
    <t>Critical Theory in the Twenty-First Century</t>
  </si>
  <si>
    <t>Design Anthropology : Theory and Practice</t>
  </si>
  <si>
    <t>Cultural History of Fashion in the 20th and 21st Centuries : From Catwalk to Sidewalk</t>
  </si>
  <si>
    <t>Museums and Communities : Curators, Collections and Collaboration</t>
  </si>
  <si>
    <t>Tragic Views of the Human Condition : Cross-Cultural Comparisons Between Views of Human Nature in Greek and Shakespearean Tragedy and the Mahabharata and Bhagavadgita</t>
  </si>
  <si>
    <t>Schleiermacher: a Guide for the Perplexed</t>
  </si>
  <si>
    <t>Challenges to the Power of Zeus in Early Greek Poetry</t>
  </si>
  <si>
    <t>Ageing and Youth Cultures : Music, Style and Identity</t>
  </si>
  <si>
    <t>Fashioning Models : Image, Text, and Industry</t>
  </si>
  <si>
    <t>Kennedy : A Cultural History of an American Icon</t>
  </si>
  <si>
    <t>Software Takes Command</t>
  </si>
  <si>
    <t>Dark Energy : Hitchcock's Absolute Camera and the Physics of Cinematic Spacetime</t>
  </si>
  <si>
    <t>Intensive Science and Virtual Philosophy</t>
  </si>
  <si>
    <t>Britain and France in Two World Wars : Truth, Myth and Memory</t>
  </si>
  <si>
    <t>Sarah Waters : Contemporary Critical Perspectives</t>
  </si>
  <si>
    <t>The Habsburgs : The History of a Dynasty</t>
  </si>
  <si>
    <t>The Merleau-Ponty Dictionary</t>
  </si>
  <si>
    <t>Arguing with Socrates : An Introduction to Plato's Shorter Dialogues</t>
  </si>
  <si>
    <t>Macbeth : A Critical Reader</t>
  </si>
  <si>
    <t>Paulo Freire's Intellectual Roots : Toward Historicity in Praxis</t>
  </si>
  <si>
    <t>Civil Disobedience : Protest, Justification and the Law</t>
  </si>
  <si>
    <t>Succeeding Postmodernism : Language and Humanism in Contemporary American Literature</t>
  </si>
  <si>
    <t>Performatives after Deconstruction</t>
  </si>
  <si>
    <t>Ancient Historians : A Student Handbook</t>
  </si>
  <si>
    <t>Reading Authority and Representing Rule in Early Modern England</t>
  </si>
  <si>
    <t>Philosophy of History after Hayden White</t>
  </si>
  <si>
    <t>Kubrick's Total Cinema : Philosophical Themes and Formal Qualities</t>
  </si>
  <si>
    <t>Terrorism and Affordance</t>
  </si>
  <si>
    <t>Learning to Flourish : A Philosophical Exploration of Liberal Education</t>
  </si>
  <si>
    <t>Acts of Knowing : Critical Pedagogy in, Against and Beyond the University</t>
  </si>
  <si>
    <t>Right Wing Populism in Europe : Politics and Discourse</t>
  </si>
  <si>
    <t>The Philosophy of Art: the Question of Definition</t>
  </si>
  <si>
    <t>Simone Weil and Theology</t>
  </si>
  <si>
    <t>Sikhism: a Guide for the Perplexed</t>
  </si>
  <si>
    <t>Western Esotericism : A Guide for the Perplexed</t>
  </si>
  <si>
    <t>Maria Montessori : A Critical Introduction to Key Themes and Debates</t>
  </si>
  <si>
    <t>Adapting Canonical Texts in Children's Literature</t>
  </si>
  <si>
    <t>Scripting Middle East Leaders : The Impact of Leadership Perceptions on U. S. and UK Foreign Policy</t>
  </si>
  <si>
    <t>Shakespeare and Contemporary Theory : New Historicism and Cultural Materialism</t>
  </si>
  <si>
    <t>Greek and Roman Sexualities : A Sourcebook</t>
  </si>
  <si>
    <t>Global Education Policy and International Development : New Agendas, Issues, and Policies</t>
  </si>
  <si>
    <t>Guns, Grenades, and Grunts : First-Person Shooter Games</t>
  </si>
  <si>
    <t>Borges, Between History and Eternity</t>
  </si>
  <si>
    <t>Performing Live Comedy</t>
  </si>
  <si>
    <t>Media Spectacle and Insurrection 2011 : From the Arab Uprisings to Occupy Everywhere</t>
  </si>
  <si>
    <t>Christian Ethics : A Guide for the Perplexed</t>
  </si>
  <si>
    <t>The Promise and Premise of Creativity : Why Comparative Literature Matters</t>
  </si>
  <si>
    <t>The Purpose of Life : A Theistic Perspective</t>
  </si>
  <si>
    <t>Great War Modernisms : And the New Age Magazine</t>
  </si>
  <si>
    <t>Television, Sex and Society : Analyzing Contemporary Representations</t>
  </si>
  <si>
    <t>Women in Ancient Greece : A Sourcebook</t>
  </si>
  <si>
    <t>Deleuze and the Diagram : Aesthetic Threads in Visual Organization</t>
  </si>
  <si>
    <t>Morality and the Movies : Reading Ethics Through Film</t>
  </si>
  <si>
    <t>The Discourse of Text Messaging : Analysis of Text Message Communication</t>
  </si>
  <si>
    <t>The Late Walter Benjamin</t>
  </si>
  <si>
    <t>The Phenomenology of Modern Art : Exploding Deleuze, Illuminating Style</t>
  </si>
  <si>
    <t>The Ethics of Reality TV : A Philosophical Examination</t>
  </si>
  <si>
    <t>Gun Policy in the United States and Canada : The Impact of Mass Murders and Assassinations on Gun Control</t>
  </si>
  <si>
    <t>Key Terms in Literary Theory</t>
  </si>
  <si>
    <t>Cybertext Poetics : The Critical Landscape of New Media Literary Theory</t>
  </si>
  <si>
    <t>Everybody's Jane : Austen in the Popular Imagination</t>
  </si>
  <si>
    <t>The Theatre and Films of Martin Mcdonagh</t>
  </si>
  <si>
    <t>Modern Britain Third Edition : A Social History 1750-2011</t>
  </si>
  <si>
    <t>Citizen Islam : The Future of Muslim Integration in the West</t>
  </si>
  <si>
    <t>Marcus Aurelius : A Guide for the Perplexed</t>
  </si>
  <si>
    <t>Wilde Complete Plays : Lady Windermere's Fan; An Ideal Husband; The Importance of Being Earnest; A Woman of No Importance; Salome; The Duchess of Padua; Vera, or the Nihilists; A Florentine Tragedy; La Sainte Courtisane</t>
  </si>
  <si>
    <t>The Marx Dictionary</t>
  </si>
  <si>
    <t>Education and HIV/AIDS</t>
  </si>
  <si>
    <t>Words, Images and Performances in Translation</t>
  </si>
  <si>
    <t>Existential Utopia : New Perspectives on Utopian Thought</t>
  </si>
  <si>
    <t>Gender and Religion : The Dark Side of Scripture</t>
  </si>
  <si>
    <t>André Bazin and Italian Neorealism</t>
  </si>
  <si>
    <t>Demystifying Disney : A History of Disney Feature Animation</t>
  </si>
  <si>
    <t>Aesthetic Afterlives : Irony, Literary Modernity and the Ends of Beauty</t>
  </si>
  <si>
    <t>The Digital Scholar : How Technology Is Transforming Scholarly Practice</t>
  </si>
  <si>
    <t>Kurt Vonnegut and the American Novel : A Postmodern Iconography</t>
  </si>
  <si>
    <t>England's Secular Scripture : Protestantism, Englishness and Literature</t>
  </si>
  <si>
    <t>Locke's Second Treatise of Government : A Reader's Guide</t>
  </si>
  <si>
    <t>Reader's Guides : Borges' Short Stories: a Reader's Guide</t>
  </si>
  <si>
    <t>On Critical Pedagogy</t>
  </si>
  <si>
    <t>The American Dream and Contemporary Hollywood Cinema</t>
  </si>
  <si>
    <t>Seeking Meaning for Goethe's Faust</t>
  </si>
  <si>
    <t>British Breweries : An Architectural History</t>
  </si>
  <si>
    <t>Bret Easton Ellis's American Psycho : Bret Easton Ellis's American Psycho: a Reader's Guide</t>
  </si>
  <si>
    <t>Merleau-Ponty: a Guide for the Perplexed</t>
  </si>
  <si>
    <t>Ethics of Ivf</t>
  </si>
  <si>
    <t>Modernism and the Post-Colonial : Literature and Empire 1885-1930</t>
  </si>
  <si>
    <t>Key Concepts In Philosophy : Gender: Key Concepts In Philosophy</t>
  </si>
  <si>
    <t>The Names of God in Judaism, Christianity, and Islam : A Basis for Interfaith Dialogue</t>
  </si>
  <si>
    <t>Wittgenstein: a Guide for the Perplexed</t>
  </si>
  <si>
    <t>Alexis de Tocqueville</t>
  </si>
  <si>
    <t>Political Economies of Media : The Transformation of the Global Media Industries</t>
  </si>
  <si>
    <t>Paulo Freire</t>
  </si>
  <si>
    <t>Foucault and Theology</t>
  </si>
  <si>
    <t>Reading Derrida's of Grammatology</t>
  </si>
  <si>
    <t>Shakespeare Inside : The Bard Behind Bars</t>
  </si>
  <si>
    <t>Plato : A Guide for the Perplexed</t>
  </si>
  <si>
    <t>Salinger's the Catcher in the Rye</t>
  </si>
  <si>
    <t>Twelfth Night : Character Studies</t>
  </si>
  <si>
    <t>British Fiction Today</t>
  </si>
  <si>
    <t>Screen Adaptations: Jane Austen's Pride and Prejudice</t>
  </si>
  <si>
    <t>The Arvon Book of Life Writing : Writing Biography, Autobiography and Memoir</t>
  </si>
  <si>
    <t>Gadamer and Ricoeur : Critical Horizons for Contemporary Hermeneutics</t>
  </si>
  <si>
    <t>The Concept of Justice : Is Social Justice Just?</t>
  </si>
  <si>
    <t>Dictators and Dictatorships : Understanding Authoritarian Regimes and Their Leaders</t>
  </si>
  <si>
    <t>Analyzing Literature-To-Film Adaptations : A Novelist's Exploration and Guide</t>
  </si>
  <si>
    <t>Games and Gaming : An Introduction to New Media</t>
  </si>
  <si>
    <t>Magical Realism and Deleuze : The Indiscernibility of Difference in Postcolonial Literature</t>
  </si>
  <si>
    <t>Language, Gender and Children's Fiction</t>
  </si>
  <si>
    <t>Guides for the Perplexed : Postcolonialism</t>
  </si>
  <si>
    <t>Continuum Studies in Contemporary North American Fiction : Margaret Atwood - The Robber Bride, the Blind Assassin, Oryx and Crake</t>
  </si>
  <si>
    <t>Kraftwerk : Music Non-Stop</t>
  </si>
  <si>
    <t>Derrida's Writing and Difference : A Reader's Guide</t>
  </si>
  <si>
    <t>Ecological Imaginations in the World Religions : An Ethnographic Analysis</t>
  </si>
  <si>
    <t>Atheism : A Guide for the Perplexed</t>
  </si>
  <si>
    <t>Listening to Noise and Silence : Towards a Philosophy of Sound Art</t>
  </si>
  <si>
    <t>Foucault's Philosophy of Art : A Genealogy of Modernity</t>
  </si>
  <si>
    <t>Joyce's Ulysses : A Reader's Guide</t>
  </si>
  <si>
    <t>The French Revolution : Continuum Histories 5</t>
  </si>
  <si>
    <t>An Introduction to Religious and Spiritual Experience</t>
  </si>
  <si>
    <t>Foucault's Legacy</t>
  </si>
  <si>
    <t>Politics : Key Concepts in Philosophy</t>
  </si>
  <si>
    <t>Starting with Sartre</t>
  </si>
  <si>
    <t>Acoustic Territories : Sound Culture and Everyday Life</t>
  </si>
  <si>
    <t>Manga : An Anthology of Global and Cultural Perspectives</t>
  </si>
  <si>
    <t>Kant's Critique of Aesthetic Judgement : A Reader's Guide</t>
  </si>
  <si>
    <t>'Tis Pity She's a Whore : A Critical Guide</t>
  </si>
  <si>
    <t>Austen's Emma</t>
  </si>
  <si>
    <t>T. S. Eliot : A Guide for the Perplexed</t>
  </si>
  <si>
    <t>Plato's Symposium : A Reader's Guide</t>
  </si>
  <si>
    <t>William Shakespeare</t>
  </si>
  <si>
    <t>Lacan and the Destiny of Literature : Desire, Jouissance and the Sinthome in Shakespeare, Donne, Joyce and Ashbery</t>
  </si>
  <si>
    <t>Nietzsche's the Birth of Tragedy : A Reader's Guide</t>
  </si>
  <si>
    <t>Beckett and Phenomenology</t>
  </si>
  <si>
    <t>Key Terms in Second Language Acquisition</t>
  </si>
  <si>
    <t>Kant and Theology</t>
  </si>
  <si>
    <t>Exile and Restoration Revisited : Essays on the Babylonian and Persian Periods in Memory of Peter R. Ackroyd</t>
  </si>
  <si>
    <t>Otherness in Hollywood Cinema</t>
  </si>
  <si>
    <t>Rawls, Dewey and Constructivism : On the Epistemology of Justice</t>
  </si>
  <si>
    <t>Quantitative Methods in Educational Research : The Role of Numbers Made Easy</t>
  </si>
  <si>
    <t>Morality : An Anthropological Perspective</t>
  </si>
  <si>
    <t>Semiotic Landscapes : Language, Image, Space</t>
  </si>
  <si>
    <t>Locating the Field : Space, Place and Context in Anthropology</t>
  </si>
  <si>
    <t>Sensible Objects : Colonialism, Museums and Material Culture</t>
  </si>
  <si>
    <t>Where the Wild Things Are Now : Domestication Reconsidered</t>
  </si>
  <si>
    <t>The Innateness of Myth : A New Interpretation of Joseph Campbell's Reception of C. G. Jung</t>
  </si>
  <si>
    <t>Foucault and Fiction : The Experience Book</t>
  </si>
  <si>
    <t>Film, Lacan and the Subject of Religion : A Psychoanalytic Approach to Religious Film Analysis</t>
  </si>
  <si>
    <t>Badiou, Balibar, Rancie`re : Rethinking Emancipation</t>
  </si>
  <si>
    <t>American Science Fiction Film and Television</t>
  </si>
  <si>
    <t>Conceptions of the Afterlife in Early Civilizations : Universalism, Constructivism, and near-death Experience</t>
  </si>
  <si>
    <t>Deconstruction and Democracy</t>
  </si>
  <si>
    <t>Rousseau's Theory of Freedom</t>
  </si>
  <si>
    <t>Levinas Guide Perplexed (e) : A Guide For the Perplexed</t>
  </si>
  <si>
    <t>Happiness and Greek Ethical Thought</t>
  </si>
  <si>
    <t>Walter Benjamin and the Arcades Project</t>
  </si>
  <si>
    <t>The Facts about Teenage Pregnancies</t>
  </si>
  <si>
    <t>Deleuze: a Guide for the Perplexed</t>
  </si>
  <si>
    <t>Food and Eating in Medieval Europe</t>
  </si>
  <si>
    <t>Perspectives of Quality in Adult Learning</t>
  </si>
  <si>
    <t>Climax of Prophecy : Studies on the Book of Revelation</t>
  </si>
  <si>
    <t>England and Normandy/Middle (E)</t>
  </si>
  <si>
    <t>Crossing Boundaries : Thinking Through Literature</t>
  </si>
  <si>
    <t>Between Deleuze and Derrida</t>
  </si>
  <si>
    <t>Dreams, Visions, and Realities : An Anthology of Short Stories by Turn-Of-the-century Women Writers</t>
  </si>
  <si>
    <t>University of Birmingham Press</t>
  </si>
  <si>
    <t>Writing for Video Games</t>
  </si>
  <si>
    <t>Germany and the Causes of the First World War</t>
  </si>
  <si>
    <t>Global Health Watch 4 : An Alternative World Health Report</t>
  </si>
  <si>
    <t>Zed Books</t>
  </si>
  <si>
    <t>Kingdom in Crisis : Thailand's Struggle for Democracy in the Twenty-First Century</t>
  </si>
  <si>
    <t>Feminist Activism, Women's Rights, and Legal Reform</t>
  </si>
  <si>
    <t>Crises of Imagination, Crises of Power : Capitalism, Creativity and the Commons</t>
  </si>
  <si>
    <t>How Capitalism Failed the Arab World : The Economic Roots and Precarious Future of the Middle East Uprisings</t>
  </si>
  <si>
    <t>North Korea : State of Paranoia</t>
  </si>
  <si>
    <t>Confessions of a Terrorist : A Novel</t>
  </si>
  <si>
    <t>Women in Politics : Gender, Power and Development</t>
  </si>
  <si>
    <t>Leftover Women : The Resurgence of Gender Inequality in China</t>
  </si>
  <si>
    <t>Global Governance and the New Wars : The Merging of Development and Security</t>
  </si>
  <si>
    <t>Voicing Demands : Feminist Activism in Transitional Contexts</t>
  </si>
  <si>
    <t>Reclaiming Development : An Alternative Economic Policy Manual</t>
  </si>
  <si>
    <t>Africa's Peacemakers : Nobel Peace Laureates of African Descent</t>
  </si>
  <si>
    <t>Protest Camps</t>
  </si>
  <si>
    <t>Spoiling Tibet : China and Resource Nationalism on the Roof of the World</t>
  </si>
  <si>
    <t>Depicting the Veil : Transnational Sexism and the War on Terror</t>
  </si>
  <si>
    <t>Youth and Revolution in Tunisia</t>
  </si>
  <si>
    <t>The Morality of China in Africa : The Middle Kingdom and the Dark Continent</t>
  </si>
  <si>
    <t>Introducing Just Sustainabilities : Policy, Planning, and Practice</t>
  </si>
  <si>
    <t>The Sexual History of the Global South : Sexual Politics in Africa, Asia and Latin America</t>
  </si>
  <si>
    <t>Revolting Subjects : Social Abjection and Resistance in Neoliberal Britain</t>
  </si>
  <si>
    <t>China and the Environment : The Green Revolution</t>
  </si>
  <si>
    <t>Girl Trouble : Panic and Progress in the History of Young Women</t>
  </si>
  <si>
    <t>Latin America's Turbulent Transitions : The Future of Twenty-First Century Socialism</t>
  </si>
  <si>
    <t>China's Urban Billion : The Story behind the Biggest Migration in Human History</t>
  </si>
  <si>
    <t>Border Walls : Security and the War on Terror in the United States, India, and Israel</t>
  </si>
  <si>
    <t>Drug War Mexico : Politics, Neoliberalism and Violence in the New Narcoeconomy</t>
  </si>
  <si>
    <t>The Arab Spring : The End of Postcolonialism</t>
  </si>
  <si>
    <t>Capitalism : A Structural Genocide</t>
  </si>
  <si>
    <t>The Palestine Nakba : Decolonising History, Narrating the Subaltern, Reclaiming Memory</t>
  </si>
  <si>
    <t>Getting Somalia Wrong? : Faith, War and Hope in a Shattered State</t>
  </si>
  <si>
    <t>Policing Sexuality : Sex, Society, and the State</t>
  </si>
  <si>
    <t>Chocolate Nations : Living and Dying for Cocoa in West Africa</t>
  </si>
  <si>
    <t>Angry Nation : Turkey since 1989</t>
  </si>
  <si>
    <t>Diasporas : Concepts, Intersections, Identities</t>
  </si>
  <si>
    <t>Undoing Privilege : Unearned Advantage in a Divided World</t>
  </si>
  <si>
    <t>Sex Slaves and Discourse Masters : The Construction of Trafficking</t>
  </si>
  <si>
    <t>Sex Work Matters : Exploring Money, Power, and Intimacy in the Sex Industry</t>
  </si>
  <si>
    <t>The Rise of China and India in Africa : Challenges, Opportunities and Critical Interventions</t>
  </si>
  <si>
    <t>Zapatistas : Rebellion from the Grassroots to the Global</t>
  </si>
  <si>
    <t>Glamour : Women, History, Feminism</t>
  </si>
  <si>
    <t>The Middle East : The Politics of the Sacred and Secular</t>
  </si>
  <si>
    <t>Women and War in the Middle East : Transnational Perspectives</t>
  </si>
  <si>
    <t>The Uncultured Wars : Arabs, Muslims and the Poverty of Liberal Thought  New Essays</t>
  </si>
  <si>
    <t>East Asian Sexualities : Modernity, Gender and New Sexual Cultures</t>
  </si>
  <si>
    <t>African Intellectuals : Rethinking Politics, Language, Gender and Development</t>
  </si>
  <si>
    <t>Crude Interventions : The United States, Oil and the New World (Dis)Order</t>
  </si>
  <si>
    <t>African Literature as Political Philosophy</t>
  </si>
  <si>
    <t>Fractured Cities : Social Exclusion, Urban Violence and Contested Spaces in Latin America</t>
  </si>
  <si>
    <t>Poverty : An International Glossary</t>
  </si>
  <si>
    <t>Oil : Politics, Poverty and the Planet</t>
  </si>
  <si>
    <t>The Global Food Economy : The Battle for the Future of Farming</t>
  </si>
  <si>
    <t>The Enemy of Nature : The End of Capitalism or the End of the World?</t>
  </si>
  <si>
    <t>Political Economy of Narcotics : Production, Consumption and Global Markets</t>
  </si>
  <si>
    <t>Participation - From Tyranny to Transformation : Exploring New Approaches to Participation in Development</t>
  </si>
  <si>
    <t>China in Africa : Partner, Competitor or Hegemon?</t>
  </si>
  <si>
    <t>Genocide, War Crimes and the West : History and Complicity</t>
  </si>
  <si>
    <t>The Millennium Development Goals : Raising the Resources to Tackle World Poverty</t>
  </si>
  <si>
    <t>From Empire to Republic : Turkish Nationalism and the Armenian Genocide</t>
  </si>
  <si>
    <t>The Coffee Paradox : Global Markets, Commodity Trade and the Elusive Promise of Development</t>
  </si>
  <si>
    <t>Sex at the Margins : Migration, Labour Markets and the Rescue Industry</t>
  </si>
  <si>
    <t>Decolonizing Methodologies : Research and Indigenous Peoples</t>
  </si>
  <si>
    <t>Organizational Culture and Leadership</t>
  </si>
  <si>
    <t>Infectious Ideas : U. S. Political Responses to the AIDS Crisis</t>
  </si>
  <si>
    <t>The Practice of Everyday Life</t>
  </si>
  <si>
    <t>Flawless Consulting : A Guide to Getting Your Expertise Used</t>
  </si>
  <si>
    <t>The Origins of Proslavery Christianity : White and Black Evangelicals in Colonial and Antebellum Virginia</t>
  </si>
  <si>
    <t>A Global History of Architecture</t>
  </si>
  <si>
    <t>Diversity in Disney Films : Critical Essays on Race, Ethnicity, Gender, Sexuality and Disability</t>
  </si>
  <si>
    <t>Unequal Childhoods : Class, Race, and Family Life</t>
  </si>
  <si>
    <t>Student Development in College : Theory, Research, and Practice</t>
  </si>
  <si>
    <t>Students Helping Students : A Guide for Peer Educators on College Campuses</t>
  </si>
  <si>
    <t>Handbook of Practical Program Evaluation</t>
  </si>
  <si>
    <t>Pedagogy of the Oppressed : 30th Anniversary Edition</t>
  </si>
  <si>
    <t>Treating Addiction : A Guide for Professionals</t>
  </si>
  <si>
    <t>Meggs' History of Graphic Design</t>
  </si>
  <si>
    <t>The Jossey-Bass Handbook of Nonprofit Leadership and Management</t>
  </si>
  <si>
    <t>Promises I Can Keep : Why Poor Women Put Motherhood Before Marriage</t>
  </si>
  <si>
    <t>Travels of a T-Shirt in the Global Economy : An Economist Examines the Markets, Power, and Politics of World Trade</t>
  </si>
  <si>
    <t>A History of Modern Latin America : 1800 to the Present</t>
  </si>
  <si>
    <t>Bilingual Education in the 21st Century : A Global Perspective</t>
  </si>
  <si>
    <t>Financial Management for Nonprofit Organizations : Policies and Practices</t>
  </si>
  <si>
    <t>Stat-Spotting : A Field Guide to Identifying Dubious Data</t>
  </si>
  <si>
    <t>Analyzing Everyday Texts : Discourse, Rhetoric, and Social Perspectives</t>
  </si>
  <si>
    <t>Becoming a Professional Counselor : Preparing for Certification and Comprehensive Exams</t>
  </si>
  <si>
    <t>Mastery, Tyranny, and Desire : Thomas Thistlewood and His Slaves in the Anglo-Jamaican World</t>
  </si>
  <si>
    <t>Osun across the Waters : A Yoruba Goddess in Africa and the Americas</t>
  </si>
  <si>
    <t>School-Based Play Therapy</t>
  </si>
  <si>
    <t>Women Making Shakespeare : Text, Reception and Performance</t>
  </si>
  <si>
    <t>Essentials of Stage Management</t>
  </si>
  <si>
    <t>Mise en Scene French Theatre Now</t>
  </si>
  <si>
    <t>Market Development for Genetically Modified Foods</t>
  </si>
  <si>
    <t>There Goes the Gayborhood?</t>
  </si>
  <si>
    <t>Against Massacre : Humanitarian Interventions in the Ottoman Empire, 1815-1914</t>
  </si>
  <si>
    <t>White Captives : Gender and Ethnicity on the American Frontier</t>
  </si>
  <si>
    <t>The Multiracial Experience : Racial Borders as the New Frontier</t>
  </si>
  <si>
    <t>The Future of Higher Education : Rhetoric, Reality, and the Risks of the Market</t>
  </si>
  <si>
    <t>Mute Poetry, Speaking Pictures</t>
  </si>
  <si>
    <t>Seeking Refuge : Central American Migration to Mexico, the United States, and Canada</t>
  </si>
  <si>
    <t>Theories in Social Psychology</t>
  </si>
  <si>
    <t>Victorian Fashion Accessories</t>
  </si>
  <si>
    <t>The Handbook of Visual Analysis</t>
  </si>
  <si>
    <t>Women in Game of Thrones : Power, Conformity and Resistance</t>
  </si>
  <si>
    <t>Making Sweatshops : The Globalization of the U.S. Apparel Industry</t>
  </si>
  <si>
    <t>Asperger Syndrome (Autism Spectrum Disorder) and Long-Term Relationships : Fully Revised and Updated with DSM-5® Criteria Second Edition</t>
  </si>
  <si>
    <t>Minority Populations and Health : An Introduction to Health Disparities in the United States</t>
  </si>
  <si>
    <t>English Grammar Workbook for Dummies</t>
  </si>
  <si>
    <t>The Age of Auden : Postwar Poetry and the American Scene</t>
  </si>
  <si>
    <t>Are Libraries Obsolete? : An Argument for Relevance in the Digital Age</t>
  </si>
  <si>
    <t>Subversive Horror Cinema : Countercultural Messages of Films from Frankenstein to the Present</t>
  </si>
  <si>
    <t>Blended Learning in Higher Education : Framework, Principles, and Guidelines</t>
  </si>
  <si>
    <t>Asia : A Concise History</t>
  </si>
  <si>
    <t>Constructing the Self</t>
  </si>
  <si>
    <t>John Benjamins Publishing Company</t>
  </si>
  <si>
    <t>David Foster Wallace's Infinite Jest : A Reader's Guide</t>
  </si>
  <si>
    <t>Between Women : Friendship, Desire, and Marriage in Victorian England</t>
  </si>
  <si>
    <t>Two-State Solution : The un Partition Resolution of Mandatory Palestine - Analysis and Sources</t>
  </si>
  <si>
    <t>Struggle and Survival in Palestine/Israel</t>
  </si>
  <si>
    <t>Barbarians of Oil : How the World's Oil Addiction Threatens Global Prosperity and Four Investments to Protect Your Wealth</t>
  </si>
  <si>
    <t>Iran's Influence : A Religious-Political State and Society in its Region</t>
  </si>
  <si>
    <t>Egypt : A Short History</t>
  </si>
  <si>
    <t>Ancient Egypt in the Popular Imagination : Building a Fantasy in Film, Literature, Music and Art</t>
  </si>
  <si>
    <t>News Media in the Arab World : A Study of 10 Arab and Muslim Countries</t>
  </si>
  <si>
    <t>Bread, Freedom, Social Justice : Workers and the Egyptian Revolution</t>
  </si>
  <si>
    <t>Egypt : The Moment of Change</t>
  </si>
  <si>
    <t>African Filmmaking : North and South of the Sahara</t>
  </si>
  <si>
    <t>Poems for the Millennium, Volume Four : The University of California Book of North African Literature</t>
  </si>
  <si>
    <t>The Global Etiquette Guide to Africa and the Middle East : Everything You Need to Know for Business and Travel Success</t>
  </si>
  <si>
    <t>Patent Searching : Tools and Techniques</t>
  </si>
  <si>
    <t>Algeria since 1989 : Between Terror and Democracy</t>
  </si>
  <si>
    <t>On Resistance : A Philosophy of Defiance</t>
  </si>
  <si>
    <t>Concise Companion to Milton</t>
  </si>
  <si>
    <t>Film Rhythm after Sound : Technology, Music, and Performance</t>
  </si>
  <si>
    <t>Arnold Schoenberg's a Survivor from Warsaw in Postwar Europe</t>
  </si>
  <si>
    <t>Graffiti Art Styles : A Classification System and Theoretical Analysis</t>
  </si>
  <si>
    <t>Relaxation for Dummies</t>
  </si>
  <si>
    <t>Ground and Grammar of Theology : Consonance Between Theology and Science</t>
  </si>
  <si>
    <t>Handbook of Writing Research</t>
  </si>
  <si>
    <t>Environmental Policy and Public Health : Air Pollution, Global Climate Change, and Wilderness</t>
  </si>
  <si>
    <t>Opium Regimes : China, Britain and Japan, 1839-1952</t>
  </si>
  <si>
    <t>The Portable Financial Analyst : What Practitioners Need to Know</t>
  </si>
  <si>
    <t>Quantitative Financial Economics : Stocks, Bonds and Foreign Exchange</t>
  </si>
  <si>
    <t>Playbook for Success : A Hall of Famer's Business Tactics for Teamwork and Leadership</t>
  </si>
  <si>
    <t>Supporting Women after Domestic Violence : Loss, Trauma and Recovery</t>
  </si>
  <si>
    <t>Marvel Graphic Novels and Related Publications : An Annotated Guide to Comics, Prose Novels, Children's Books, Articles, Criticism and Reference Works, 1965-2005</t>
  </si>
  <si>
    <t>Comic Books and American Cultural History : An Anthology</t>
  </si>
  <si>
    <t>Teaching Comics and Graphic Narratives : Essays on Theory, Strategy and Practice</t>
  </si>
  <si>
    <t>Beauty Unlimited</t>
  </si>
  <si>
    <t>Gesturing Toward Reality : David Foster Wallace and Philosophy</t>
  </si>
  <si>
    <t>Modern Asian Theatre and Performance 1900-2000</t>
  </si>
  <si>
    <t>Science Fiction, Imperialism and the Third World : Essays on Postcolonial Literature and Film</t>
  </si>
  <si>
    <t>Latino Generation : Voices of the New America</t>
  </si>
  <si>
    <t>Stravinsky and His World</t>
  </si>
  <si>
    <t>A Practical Guide for Teachers of Students with an Autism Spectrum Disorder in Secondary Education</t>
  </si>
  <si>
    <t>An Introduction to Sociolinguistics</t>
  </si>
  <si>
    <t>Tropics of Savagery : The Culture of Japanese Empire in Comparative Frame</t>
  </si>
  <si>
    <t>Epic Encounters : Culture, Media, and U. S. Interests in the Middle East Since1945</t>
  </si>
  <si>
    <t>Euripides: Trojan Women</t>
  </si>
  <si>
    <t>Environmental Enrichment for Captive Animals</t>
  </si>
  <si>
    <t>The Five Most Important Questions You Will Ever Ask about Your Organization : Participant's Workbook</t>
  </si>
  <si>
    <t>Territory, Authority, Rights : From Medieval to Global Assemblages</t>
  </si>
  <si>
    <t>Reluctant Accomplice : A Wehrmacht Soldier's Letters from the Eastern Front</t>
  </si>
  <si>
    <t>Needs Assessment : An Overview  (Book 1)</t>
  </si>
  <si>
    <t>How to Reach and Teach English Language Learners : Practical Strategies to Ensure Success</t>
  </si>
  <si>
    <t>The Silent Language of Leaders : How Body Language Can Help--Or Hurt--How You Lead</t>
  </si>
  <si>
    <t>Healing Your Emotional Self : A Powerful Program to Help You Raise Your Self-Esteem, Quiet Your Inner Critic, and Overcome Your Shame</t>
  </si>
  <si>
    <t>Teaching English As a Second Language : Giving New Learners an Everyday Grammar</t>
  </si>
  <si>
    <t>The History of American Higher Education : Learning and Culture from the Founding to World War II</t>
  </si>
  <si>
    <t>Sound, Music, Affect : Theorising Sonic Experience</t>
  </si>
  <si>
    <t>Sustainable Transportation Planning : Tools for Creating Vibrant, Healthy, and Resilient Communities</t>
  </si>
  <si>
    <t>Everything but the Coffee : Learning about America from Starbucks</t>
  </si>
  <si>
    <t>Democracies at War</t>
  </si>
  <si>
    <t>Middle Adulthood : A Lifespan Perspective</t>
  </si>
  <si>
    <t>The Undiscovered Self : With Symbols and the Interpretation of Dreams</t>
  </si>
  <si>
    <t>The SAGE Handbook of Health Care Ethics</t>
  </si>
  <si>
    <t>Celebrating Every Learner : Activities and Strategies for Creating a Multiple Intelligences Classroom</t>
  </si>
  <si>
    <t>Why the French Don't Like Headscarves : Islam, the State, and Public Space</t>
  </si>
  <si>
    <t>Infections and Inequalities : The Modern Plagues</t>
  </si>
  <si>
    <t>An Anthropology of Biomedicine</t>
  </si>
  <si>
    <t>Second Language Acquisition in a Study Abroad Context</t>
  </si>
  <si>
    <t>A History of India</t>
  </si>
  <si>
    <t>Network Society : Social Aspects of New Media</t>
  </si>
  <si>
    <t>Dalits in Modern India : Vision and Values</t>
  </si>
  <si>
    <t>Aesthetics of Education : Theatre, Curiosity, and Politics in the Work of Jacques Rancière and Paulo Freire</t>
  </si>
  <si>
    <t>Barbie Culture</t>
  </si>
  <si>
    <t>Migrants and Strangers in an African City : Exile, Dignity, Belonging</t>
  </si>
  <si>
    <t>Games in Libraries : Essays on Using Play to Connect and Instruct</t>
  </si>
  <si>
    <t>Appraising the Graduate : The Mike Nichols Classic and Its Impact in Hollywood</t>
  </si>
  <si>
    <t>Weighing In : Obesity, Food Justice, and the Limits of Capitalism</t>
  </si>
  <si>
    <t>Black Arts Movement</t>
  </si>
  <si>
    <t>Why Calories Count : From Science to Politics</t>
  </si>
  <si>
    <t>Maintenance and Loss of Minority Languages</t>
  </si>
  <si>
    <t>Strategic Planning for Public and Nonprofit Organizations : A Guide to Strengthening and Sustaining Organizational Achievement</t>
  </si>
  <si>
    <t>Job Stress and the Librarian : Coping Strategies from the Professionals</t>
  </si>
  <si>
    <t>Case Study Research Methods</t>
  </si>
  <si>
    <t>Technology as Human Social Tradition : Cultural Transmission among Hunter-Gatherers</t>
  </si>
  <si>
    <t>Cinema and Experience : Siegfried Kracauer, Walter Benjamin, and Theodor W. Adorno</t>
  </si>
  <si>
    <t>First Language Attrition</t>
  </si>
  <si>
    <t>Politics and the Imagination</t>
  </si>
  <si>
    <t>Literature and Nation in the Middle East</t>
  </si>
  <si>
    <t>Psychosocial Treatment of Schizophrenia</t>
  </si>
  <si>
    <t>Child Migration and Human Rights in a Global Age</t>
  </si>
  <si>
    <t>Western Music and Its Others : Difference, Representation, and Appropriation in Music</t>
  </si>
  <si>
    <t>Yahweh and Gods and Goddesses</t>
  </si>
  <si>
    <t>Genealogy as Critique : Foucault and the Problems of Modernity</t>
  </si>
  <si>
    <t>Womens Bodies (e) : Cultural Representations and Identity</t>
  </si>
  <si>
    <t>Luce Irigaray : Teaching</t>
  </si>
  <si>
    <t>Cultures and Globalization : Cities, Cultural Policy and Governance</t>
  </si>
  <si>
    <t>Beyond the Babble : Leadership Communication That Drives Results</t>
  </si>
  <si>
    <t>Mindfulness for Dummies</t>
  </si>
  <si>
    <t>Leading Out Loud : Inspiring Change Through Authentic Communications</t>
  </si>
  <si>
    <t>Liberal Loyalty : Freedom, Obligation, and the State</t>
  </si>
  <si>
    <t>Decolonizing Museums : Representing Native America in National and Tribal Museums</t>
  </si>
  <si>
    <t>The Procrastinator's Guide to Getting Things Done</t>
  </si>
  <si>
    <t>Forgeries of Memory and Meaning : Blacks and the Regimes of Race in American Theater and Film before World War II</t>
  </si>
  <si>
    <t>Confronting the Veil : Abram Harris Jr., E. Franklin Frazier, and Ralph Bunche, 1919-1941</t>
  </si>
  <si>
    <t>Deleuze and the Cinemas of Performance : Powers of Affection</t>
  </si>
  <si>
    <t>Truth and Truthfulness : An Essay in Genealogy</t>
  </si>
  <si>
    <t>To Improve the Academy : Resources for Faculty, Instructional, and Organizational Development</t>
  </si>
  <si>
    <t>Liberators, Patriots, and Leaders of Latin America : 32 Biographies</t>
  </si>
  <si>
    <t>Fear and Trembling and the Sickness unto Death</t>
  </si>
  <si>
    <t>Banish Your Body Image Thief : A Cognitive Behavioural Therapy Workbook on Building Positive Body Image for Young People</t>
  </si>
  <si>
    <t>Living on the Edge in Leonardo's Florence : Selected Essays</t>
  </si>
  <si>
    <t>Hip Hop Ukraine : Music, Race, and African Migration</t>
  </si>
  <si>
    <t>Achebe's Things Fall Apart</t>
  </si>
  <si>
    <t>Information and Communication Technology in Organizations : Adoption, Implementation, Use and Effects</t>
  </si>
  <si>
    <t>Jews on Broadway : An Historical Survey of Performers, Playwrights, Composers, Lyricists and Producers</t>
  </si>
  <si>
    <t>McFarland &amp; Company, Inc., Publishers</t>
  </si>
  <si>
    <t>On Whitman</t>
  </si>
  <si>
    <t>Rethinking the Other in Antiquity</t>
  </si>
  <si>
    <t>Management For Dummies</t>
  </si>
  <si>
    <t>Anteparadise</t>
  </si>
  <si>
    <t>Gay Masculinities</t>
  </si>
  <si>
    <t>Social Work Perspectives on Human Behaviour</t>
  </si>
  <si>
    <t>McGraw-Hill Education</t>
  </si>
  <si>
    <t>Fashion Media : Past and Present</t>
  </si>
  <si>
    <t>Analyzing and Reporting Focus Group Results</t>
  </si>
  <si>
    <t>The Course Syllabus : A Learning-Centered Approach</t>
  </si>
  <si>
    <t>Refried Elvis : The Rise of the Mexican Counterculture</t>
  </si>
  <si>
    <t>The SAGE Handbook of Social Network Analysis</t>
  </si>
  <si>
    <t>Physical Punishment in Childhood : The Rights of the Child</t>
  </si>
  <si>
    <t>Labor Rights Are Civil Rights : Mexican American Workers in Twentieth-Century America</t>
  </si>
  <si>
    <t>The Elementary / Middle School Counselor's Survival Guide</t>
  </si>
  <si>
    <t>Making Thinking Visible : How to Promote Engagement, Understanding, and Independence for All Learners</t>
  </si>
  <si>
    <t>Is Multiculturalism Bad for Women?</t>
  </si>
  <si>
    <t>Facilitating Learning in Online Environments : New Directions for Adult and Continuing Education</t>
  </si>
  <si>
    <t>A Companion to the History of the Book</t>
  </si>
  <si>
    <t>Children, Adolescents, and Media Violence : A Critical Look at the Research</t>
  </si>
  <si>
    <t>Introduction To Applying Social Work Theories And Methods</t>
  </si>
  <si>
    <t>The NORC General Social Survey : A User's Guide</t>
  </si>
  <si>
    <t>Deleuze and the Body</t>
  </si>
  <si>
    <t>Blowout! : Sal Castro and the Chicano Struggle for Educational Justice</t>
  </si>
  <si>
    <t>Robert Altman : Critical Essays</t>
  </si>
  <si>
    <t>Islamic Central Asia : An Anthology of Historical Sources</t>
  </si>
  <si>
    <t>Finance Fundamentals for Nonprofits : Building Capacity and Sustainability</t>
  </si>
  <si>
    <t>Bullying in Secondary Schools : What It Looks Like and How To Manage It</t>
  </si>
  <si>
    <t>Complete Guide to Strength Training</t>
  </si>
  <si>
    <t>The Languages of Global Hip Hop</t>
  </si>
  <si>
    <t>Encountering Development : The Making and Unmaking of the Third World</t>
  </si>
  <si>
    <t>The Theatre of Caryl Churchill</t>
  </si>
  <si>
    <t>Modern European Criticism and Theory : A Critical Guide</t>
  </si>
  <si>
    <t>Mao's China and the Cold War</t>
  </si>
  <si>
    <t>Rallying for Immigrant Rights : The Fight for Inclusion in 21st Century America</t>
  </si>
  <si>
    <t>Content Nation : Surviving and Thriving as Social Media Changes Our Work, Our Lives, and Our Future</t>
  </si>
  <si>
    <t>Downcast Eyes : The Denigration of Vision in Twentieth-Century French Thought</t>
  </si>
  <si>
    <t>Web Analytics 2. 0 : The Art of Online Accountability and Science of Customer Centricity</t>
  </si>
  <si>
    <t>The Making of Modern South Africa : Conquest, Apartheid, Democracy</t>
  </si>
  <si>
    <t>Partner to the Poor : A Paul Farmer Reader</t>
  </si>
  <si>
    <t>Child Abuse : New Directions in Prevention and Treatment across the Lifespan</t>
  </si>
  <si>
    <t>After Civil Rights : Racial Realism in the New American Workplace</t>
  </si>
  <si>
    <t>Fresh Fruit, Broken Bodies : Migrant Farmworkers in the United States</t>
  </si>
  <si>
    <t>The Untold History of Ramen : How Political Crisis in Japan Spawned a Global Food Craze</t>
  </si>
  <si>
    <t>The Garden in the Machine : A Field Guide to Independent Films about Place</t>
  </si>
  <si>
    <t>Living Color : The Biological and Social Meaning of Skin Color</t>
  </si>
  <si>
    <t>Between Citizens and the State : The Politics of American Higher Education in the 20th Century</t>
  </si>
  <si>
    <t>Text, Context and the Johannine Community : A Sociolinguistic Analysis of the Johannine Writings</t>
  </si>
  <si>
    <t>Literary Fiction : The Ways We Read Narrative Literature</t>
  </si>
  <si>
    <t>Crimes of the Future : Theory and its Global Reproduction</t>
  </si>
  <si>
    <t>The Literary Theory Toolkit : A Compendium of Concepts and Methods</t>
  </si>
  <si>
    <t>Literary Criticism in the 21st Century : Theory Renaissance</t>
  </si>
  <si>
    <t>Filmspeak : How to Understand Literary Theory by Watching Movies</t>
  </si>
  <si>
    <t>Bodies of Thought : Embodiment, Identity and Modernity</t>
  </si>
  <si>
    <t>Escape from Smoking : Look Younger, Feel Younger, Make Money and Love Your Life!</t>
  </si>
  <si>
    <t>A Little Book of Tobacco : Activities to Explore Smoking Issues with Young People</t>
  </si>
  <si>
    <t>Detox Your Desk : Declutter Your Life and Mind</t>
  </si>
  <si>
    <t>The Fundamentals of Municipal Bonds</t>
  </si>
  <si>
    <t>Eminem and Rap, Poetry, Race : Essays</t>
  </si>
  <si>
    <t>Sex for Dummies</t>
  </si>
  <si>
    <t>Hinduism Today : An Introduction</t>
  </si>
  <si>
    <t>Hinduism for Dummies</t>
  </si>
  <si>
    <t>The Sociology of Religion : A Substantive and Transdisciplinary Approach</t>
  </si>
  <si>
    <t>Child Abusers : Research and Controversy</t>
  </si>
  <si>
    <t>My People First! : Nationalism, Identity, and Insurgency in the Chicano Movement in Los Angeles, 1966-1978</t>
  </si>
  <si>
    <t>Literary Theory : An Introduction</t>
  </si>
  <si>
    <t>Questioning the Veil : Open Letters to Muslim Women</t>
  </si>
  <si>
    <t>Knowledge Management Processes in Organizations : Theoretical Foundations and Examples of Practice</t>
  </si>
  <si>
    <t>Social Media Metrics : How to Measure and Optimize Your Marketing Investment</t>
  </si>
  <si>
    <t>Social Media Marketing : The Next Generation of Business Engagement</t>
  </si>
  <si>
    <t>The Drunken Monkey : Why We Drink and Abuse Alcohol</t>
  </si>
  <si>
    <t>Spiritual Encounters</t>
  </si>
  <si>
    <t>Differentiated Assessment : How to Assess the Learning Potential of Every Student (Grades 6-12)</t>
  </si>
  <si>
    <t>Introduction to Graphic Design Methodologies and Processes : Understanding Theory and Application</t>
  </si>
  <si>
    <t>Treating Substance Abuse, Third Edition : Theory and Technique</t>
  </si>
  <si>
    <t>Tambora : The Eruption That Changed the World</t>
  </si>
  <si>
    <t>Intensive Longitudinal Methods : An Introduction to Diary and Experience Sampling Research</t>
  </si>
  <si>
    <t>Violence Against Women : Current Theory and Practice in Domestic Abuse, Sexual Violence and Exploitation</t>
  </si>
  <si>
    <t>Speaking with Vampires : Rumor and History in Colonial Africa</t>
  </si>
  <si>
    <t>Rethinking Substance Abuse : What the Science Shows, and What We Should Do about It</t>
  </si>
  <si>
    <t>Teens Who Hurt : Clinical Interventions to Break the Cycle of Adolescent Violence</t>
  </si>
  <si>
    <t>The Struggle for Equality : Abolitionists and the Negro in the Civil War and Reconstruction</t>
  </si>
  <si>
    <t>A Performer's Guide to Seventeenth-Century Music</t>
  </si>
  <si>
    <t>Cannabis : Evolution and Ethnobotany</t>
  </si>
  <si>
    <t>The Final Pagan Generation</t>
  </si>
  <si>
    <t>The Original Folk and Fairy Tales of the Brothers Grimm : The Complete First Edition</t>
  </si>
  <si>
    <t>Women in Ancient Rome : A Sourcebook</t>
  </si>
  <si>
    <t>Addressing Racism : Facilitating Cultural Competence in Mental Health and Educational Settings</t>
  </si>
  <si>
    <t>Word Order, Agreement and Pronominalization in Standard and Palestinian Arabic</t>
  </si>
  <si>
    <t>Nero : Nero</t>
  </si>
  <si>
    <t>American Regional Cuisine</t>
  </si>
  <si>
    <t>Women, Feminism and Media</t>
  </si>
  <si>
    <t>Handbook of Corporate Equity Derivatives and Equity Capital Markets</t>
  </si>
  <si>
    <t>Threads and Traces : True False Fictive</t>
  </si>
  <si>
    <t>Chinese Visions of Family and State, 1915-1953 : Chinese Visions of Family and State, 1916-1953</t>
  </si>
  <si>
    <t>Best Practices in ELL Instruction</t>
  </si>
  <si>
    <t>Leadership in Education</t>
  </si>
  <si>
    <t>Gothic Realities : The Impact of Horror Fiction on Modern Culture</t>
  </si>
  <si>
    <t>Labor and the Locavore : The Making of a Comprehensive Food Ethic</t>
  </si>
  <si>
    <t>The Mental Health Desk Reference : A Practice-Based Guide to Diagnosis, Treatment, and Professional Ethics</t>
  </si>
  <si>
    <t>Psychiatric Studies : Psychiatric Studies</t>
  </si>
  <si>
    <t>Peasants under Siege : The Collectivization of Romanian Agriculture, 1949-1962</t>
  </si>
  <si>
    <t>Gender and Sexuality : Critical Theories, Critical Thinkers</t>
  </si>
  <si>
    <t>Inside National Health Reform</t>
  </si>
  <si>
    <t>American Gridlock : Why the Right and Left Are Both Wrong - Commonsense 101 Solutions to the Economic Crises</t>
  </si>
  <si>
    <t>Radical Moves : Caribbean Migrants and the Politics of Race in the Jazz Age</t>
  </si>
  <si>
    <t>Beginner'S Guide To Mindfulness: Live In The Moment</t>
  </si>
  <si>
    <t>Jim and Jap Crow : A Cultural History of 1940s Interracial America</t>
  </si>
  <si>
    <t>The Homeric Hymn to Demeter : Translation, Commentary, and Interpretive Essays</t>
  </si>
  <si>
    <t>The Limits of Convergence : Globalization and Organizational Change in Argentina, South Korea, and Spain</t>
  </si>
  <si>
    <t>Producing Security : Multinational Corporations, Globalization, and the Changing Calculus of Conflict</t>
  </si>
  <si>
    <t>A Shrinking Island : Modernism and National Culture in England</t>
  </si>
  <si>
    <t>Twins in African and Diaspora Cultures : Double Trouble, Twice Blessed</t>
  </si>
  <si>
    <t>Encyclopedia of Gender in Media</t>
  </si>
  <si>
    <t>The One-Hour Activist : The 15 Most Powerful Actions You Can Take to Fight for the Issues and Candidates You Care About</t>
  </si>
  <si>
    <t>Research Methods in Child Language : A Practical Guide</t>
  </si>
  <si>
    <t>The Making of Salem : The Witch Trials in History, Fiction and Tourism</t>
  </si>
  <si>
    <t>Teaching for Critical Thinking : Tools and Techniques to Help Students Question Their Assumptions</t>
  </si>
  <si>
    <t>The Bloody South Carolina Election of 1876 : Wade Hampton III, the Red Shirt Campaign for Governor and the End of Reconstruction</t>
  </si>
  <si>
    <t>How to Help Children and Young People with Complex Behavioural Difficulties : A Guide for Practitioners Working In Educational Settings</t>
  </si>
  <si>
    <t>Live Theory : Judith Butler: Live Theory</t>
  </si>
  <si>
    <t>Michel de Certeau : Cultural Theorist</t>
  </si>
  <si>
    <t>Inside Paradise Lost : Reading the Designs of Milton's Epic</t>
  </si>
  <si>
    <t>Game on, Hollywood! : Essays on the Intersection of Video Games and Cinema</t>
  </si>
  <si>
    <t>Efficiency in Learning : Evidence-Based Guidelines to Manage Cognitive Load</t>
  </si>
  <si>
    <t>The New Cultural History</t>
  </si>
  <si>
    <t>Asperger's Syndrome - That Explains Everything : Strategies for Education, Life and Just about Everything Else</t>
  </si>
  <si>
    <t>Handbook of Work Stress</t>
  </si>
  <si>
    <t>The Life of Cheese : Crafting Food and Value in America</t>
  </si>
  <si>
    <t>Death, Mourning, and Burial : A Cross-Cultural Reader</t>
  </si>
  <si>
    <t>Consumption, Food and Taste : Culinary Antinomies and Commodity Culture</t>
  </si>
  <si>
    <t>An Intimate Affair : Women, Lingerie, and Sexuality</t>
  </si>
  <si>
    <t>Diversity and Complexity</t>
  </si>
  <si>
    <t>Staring at the Sun : Overcoming the Terror of Death</t>
  </si>
  <si>
    <t>Remaking Women : Feminism and Modernity in the Middle East</t>
  </si>
  <si>
    <t>Student Services : A Handbook for the Profession</t>
  </si>
  <si>
    <t>Managing the Millennials : Discover the Core Competencies for Managing Today's Workforce</t>
  </si>
  <si>
    <t>When Religion Becomes Lethal : The Explosive Mix of Politics and Religion in Judaism, Christianity, and Islam</t>
  </si>
  <si>
    <t>Classroom Literacy Assessment : Making Sense of What Students Know and Do</t>
  </si>
  <si>
    <t>A Comprehensive Guide to Music Therapy : Theory, Clinical Practice, Research and Training</t>
  </si>
  <si>
    <t>Poverty Traps</t>
  </si>
  <si>
    <t>John Cage and Buddhist Ecopoetics</t>
  </si>
  <si>
    <t>The Hungarians : A Thousand Years of Victory in Defeat</t>
  </si>
  <si>
    <t>The Profession and Practice of Adult Education : An Introduction</t>
  </si>
  <si>
    <t>The Missing Girls and Women of China, Hong Kong and Taiwan : A Sociological Study of Infanticide, Forced Prostitution, Political Imprisonment, ... Runaways and Thrownaways, 1900-2000s</t>
  </si>
  <si>
    <t>The Art of Comics : A Philosophical Approach</t>
  </si>
  <si>
    <t>Century of Genocide : Utopias of Race and Nation</t>
  </si>
  <si>
    <t>Hiroshima Traces : Time, Space, and the Dialectics of Memory</t>
  </si>
  <si>
    <t>Acoustic and Auditory Phonetics</t>
  </si>
  <si>
    <t>Environmental Health : From Global to Local</t>
  </si>
  <si>
    <t>Violin for Dummies</t>
  </si>
  <si>
    <t>Resiliency in Native American and Immigrant Families</t>
  </si>
  <si>
    <t>Delphi : A History of the Center of the Ancient World</t>
  </si>
  <si>
    <t>Creationism and Its Critics in Antiquity : Creationism and Its Critics in Antiquity</t>
  </si>
  <si>
    <t>Professional Practice for Interior Designers</t>
  </si>
  <si>
    <t>From the Bullet to the Ballot : The Illinois Chapter of the Black Panther Party and Racial Coalition Politics in Chicago</t>
  </si>
  <si>
    <t>Democracy and Tradition</t>
  </si>
  <si>
    <t>One Land, Two States : Israel and Palestine as Parallel States</t>
  </si>
  <si>
    <t>The Handbook of Organizational Economics</t>
  </si>
  <si>
    <t>Agamben and Politics : A Critical Introduction</t>
  </si>
  <si>
    <t>Servant Leadership for Higher Education : Principles and Practices</t>
  </si>
  <si>
    <t>Battling the Plantation Mentality : Memphis and the Black Freedom Struggle</t>
  </si>
  <si>
    <t>A Performer's Guide to Renaissance Music</t>
  </si>
  <si>
    <t>Eloquent Body : Dance and Humanist Culture in Fifteenth-Century Italy</t>
  </si>
  <si>
    <t>Eighteen Woody Allen Films Analyzed : Anguish, God and Existentialism</t>
  </si>
  <si>
    <t>The Post-Romantic Predicament</t>
  </si>
  <si>
    <t>Body in Tolkien's Legendarium : Essays on Middle-Earth Corporeality</t>
  </si>
  <si>
    <t>Making Home Work : Domesticity and Native American Assimilation in the American West, 1860-1919</t>
  </si>
  <si>
    <t>Picturing Tolkien : Essays on Peter Jackson's the Lord of the Rings Film Trilogy</t>
  </si>
  <si>
    <t>Filipino English and Taglish : Language switching from multiple perspectives</t>
  </si>
  <si>
    <t>Qualitative Methods in Public Health : A Field Guide for Applied Research</t>
  </si>
  <si>
    <t>Methods in Community-Based Participatory Research for Health</t>
  </si>
  <si>
    <t>Companion to Social Archaeology</t>
  </si>
  <si>
    <t>Globalization and Football</t>
  </si>
  <si>
    <t>Slavery in the Upper Mississippi Valley, 1787-1865 : A History of Human Bondage in Illinois, Iowa, Minnesota and Wisconsin</t>
  </si>
  <si>
    <t>American Boarding School Fiction, 1928-1981 : A Critical Study</t>
  </si>
  <si>
    <t>Democratic Transformations : Eight Conflicts in the Negotiation of American Identity</t>
  </si>
  <si>
    <t>Multidisciplinary Approaches to Code Switching</t>
  </si>
  <si>
    <t>Environment, Scarcity, and Violence</t>
  </si>
  <si>
    <t>Ancient Greek Philosophy : From the Presocratics to the Hellenistic Philosophers</t>
  </si>
  <si>
    <t>Rationality and the Pursuit of Happiness : The Legacy of Albert Ellis</t>
  </si>
  <si>
    <t>Globalizing Capital : A History of the International Monetary System (Second Edition)</t>
  </si>
  <si>
    <t>The Blackwell Handbook of Mentoring : A Multiple Perspectives Approach</t>
  </si>
  <si>
    <t>India in Africa, Africa in India : Indian Ocean Cosmopolitanisms</t>
  </si>
  <si>
    <t>The Color of Success : Asian Americans and the Origins of the Model Minority</t>
  </si>
  <si>
    <t>Machiavelli's God</t>
  </si>
  <si>
    <t>Women Composers of Classical Music : 369 Biographies from 1550 into the 20th Century</t>
  </si>
  <si>
    <t>Handbook of Youth Mentoring</t>
  </si>
  <si>
    <t>God and Evil in the Theology of St Thomas Aquinas : In the Theology of St Thomas Aquinas</t>
  </si>
  <si>
    <t>Cultures and Globalization : Conflicts and Tensions</t>
  </si>
  <si>
    <t>Academic Writing and Plagiarism : A Linguistic Analysis</t>
  </si>
  <si>
    <t>The Great Escape : Health, Wealth, and the Origins of Inequality</t>
  </si>
  <si>
    <t>Women and Music : A History</t>
  </si>
  <si>
    <t>Behavioral Finance and Wealth Management : How to Build Investment Strategies That Account for Investor Biases</t>
  </si>
  <si>
    <t>RTI : A Practitioner's Guide to Implementing Response to Intervention</t>
  </si>
  <si>
    <t>Phonology and Second Language Acquisition</t>
  </si>
  <si>
    <t>Steel Closets : Voices of Gay, Lesbian, and Transgender Steelworkers</t>
  </si>
  <si>
    <t>Political Bubbles : Financial Crises and the Failure of American Democracy</t>
  </si>
  <si>
    <t>Learning about Friendship : Stories to Support Social Skills Training in Children with Asperger Syndrome and High Functioning Autism</t>
  </si>
  <si>
    <t>Christmas, Ideology and Popular Culture</t>
  </si>
  <si>
    <t>Christmas Encyclopedia</t>
  </si>
  <si>
    <t>Polygamy : A Cross-Cultural Analysis</t>
  </si>
  <si>
    <t>Berg Publishers</t>
  </si>
  <si>
    <t>The Ethnic Dimension in American History</t>
  </si>
  <si>
    <t>Existential Therapies</t>
  </si>
  <si>
    <t>Semantics</t>
  </si>
  <si>
    <t>On Media Violence</t>
  </si>
  <si>
    <t>Make Space : How to Set the Stage for Creative Collaboration</t>
  </si>
  <si>
    <t>Teaching With Technologies : The Essential Guide</t>
  </si>
  <si>
    <t>Africans in Colonial Mexico : Absolutism, Christianity, and Afro-Creole Consciousness, 1570-1640</t>
  </si>
  <si>
    <t>The Psychology of Eating : From Healthy to Disordered Behavior</t>
  </si>
  <si>
    <t>Trafficking and Global Crime Control</t>
  </si>
  <si>
    <t>Looking at Lysistrata : Eight Essays and a New Version of Aristophanes' Provocative Comedy</t>
  </si>
  <si>
    <t>What Justice? Whose Justice? : Fighting for Fairness In Latin America</t>
  </si>
  <si>
    <t>The Politics of Women's Rights : Parties, Positions, and Change</t>
  </si>
  <si>
    <t>Making Families Through Adoption</t>
  </si>
  <si>
    <t>Keeping the Millennials : Why Companies Are Losing Billions in Turnover to This Generation- and What to Do about It</t>
  </si>
  <si>
    <t>The Industrial Revolution</t>
  </si>
  <si>
    <t>Writing For Academic Journals</t>
  </si>
  <si>
    <t>Horrible Prettiness : Burlesque and American Culture</t>
  </si>
  <si>
    <t>Piano Exercises for Dummies</t>
  </si>
  <si>
    <t>Brewing Justice : Fair Trade Coffee, Sustainability, and Survival</t>
  </si>
  <si>
    <t>The Last Shall Be First : The Rhetoric of Reversal in Luke</t>
  </si>
  <si>
    <t>Latinos, Inc. : The Marketing and Making of a People</t>
  </si>
  <si>
    <t>Servants of the Dynasty : Palace Women In World History</t>
  </si>
  <si>
    <t>Community Policing : Misnomer or Fact?</t>
  </si>
  <si>
    <t>SAGE India</t>
  </si>
  <si>
    <t>Stress : A Brief History</t>
  </si>
  <si>
    <t>Colonialism and Violence in Nigeria</t>
  </si>
  <si>
    <t>Social Development : Relationships in Infancy, Childhood, and Adolescence</t>
  </si>
  <si>
    <t>The Political Spirituality of Cesar Chavez : Crossing Religious Borders</t>
  </si>
  <si>
    <t>Encyclopedia of Reincarnation and Karma</t>
  </si>
  <si>
    <t>A Turn to Empire : The Rise of Imperial Liberalism in Britain and France</t>
  </si>
  <si>
    <t>Sound of Tomorrow : How Electronic Music Was Smuggled into the Mainstream</t>
  </si>
  <si>
    <t>ADHD, Living Without Brakes : Living Without Brakes</t>
  </si>
  <si>
    <t>John Bowlby - from Psychoanalysis to Ethology : Unravelling the Roots of Attachment Theory</t>
  </si>
  <si>
    <t>Economic Lives : How Culture Shapes the Economy</t>
  </si>
  <si>
    <t>Parenting for Dummies</t>
  </si>
  <si>
    <t>Cracking the Common Core : Choosing and Using Texts in Grades 6-12</t>
  </si>
  <si>
    <t>Managing Organizational Deviance</t>
  </si>
  <si>
    <t>Literary Learning : Teaching the English Major</t>
  </si>
  <si>
    <t>Iraq : A Political History</t>
  </si>
  <si>
    <t>New Perspectives on Bullying : A Guide for Practitioners</t>
  </si>
  <si>
    <t>Into the Land of Bones : Alexander the Great in Afghanistan</t>
  </si>
  <si>
    <t>Civil Society and the State in Left-Led Latin America : Challenges and Limitations to Democratization</t>
  </si>
  <si>
    <t>Thought Reform and the Psychology of Totalism : A Study of Brainwashing in China</t>
  </si>
  <si>
    <t>Peer to Peer and the Music Industry : The Criminalization of Sharing</t>
  </si>
  <si>
    <t>Watchmen and Philosophy : A Rorschach Test</t>
  </si>
  <si>
    <t>Available Light : Anthropological Reflections on Philosophical Topics</t>
  </si>
  <si>
    <t>The Funeral Casino : Meditation, Massacre, and Exchange with the Dead in Thailand</t>
  </si>
  <si>
    <t>Executive's Guide to Cloud Computing</t>
  </si>
  <si>
    <t>Kierkegaard and Levinas : Ethics, Politics, and Religion</t>
  </si>
  <si>
    <t>Good Catholics : The Battle over Abortion in the Catholic Church</t>
  </si>
  <si>
    <t>Archaeology of Asia</t>
  </si>
  <si>
    <t>Drug Truths : Dispelling the Myths about Pharma R and D</t>
  </si>
  <si>
    <t>Abortion : Medical Progress and Social Implications</t>
  </si>
  <si>
    <t>Docufictions : Essays on the Intersection of Documentary and Fictional Filmmaking</t>
  </si>
  <si>
    <t>The Gifts of Athena : Historical Origins of the Knowledge Economy</t>
  </si>
  <si>
    <t>The FARC : The Longest Insurgency</t>
  </si>
  <si>
    <t>Person-Centered Diagnosis and Treatment in Mental Health : A Model for Empowering Clients</t>
  </si>
  <si>
    <t>The New Pioneers : Sustainable Business Success Through Social Innovation and Social Entrepreneurship</t>
  </si>
  <si>
    <t>Language Testing, Migration and Citizenship : Cross-national Perspectives on Integration Regimes</t>
  </si>
  <si>
    <t>Paul Wilmott Introduces Quantitative Finance</t>
  </si>
  <si>
    <t>Wiley CPA Exam Review Focus Notes 2012 : Auditing and Attestation</t>
  </si>
  <si>
    <t>The Wire : Urban Decay and American Television</t>
  </si>
  <si>
    <t>Handbook of Dynamics in Parent-Child Relations</t>
  </si>
  <si>
    <t>Attachment and Interaction : From Bowlby to Current Clinical Theory and Practice</t>
  </si>
  <si>
    <t>Rome and the Distant East : Trade Routes to the Ancient Lands of Arabia, India and China</t>
  </si>
  <si>
    <t>Rome and its Empire, AD 193-284</t>
  </si>
  <si>
    <t>Andre Bazin's New Media</t>
  </si>
  <si>
    <t>Banding Together : How Communities Create Genres in Popular Music</t>
  </si>
  <si>
    <t>Music Makes Me : Fred Astaire and Jazz</t>
  </si>
  <si>
    <t>Digital Aesthetics</t>
  </si>
  <si>
    <t>The Lure of the Modern : Writing Modernism in Semicolonial China, 1917-1937</t>
  </si>
  <si>
    <t>Finding Your Roots : The Official Companion to the PBS Series</t>
  </si>
  <si>
    <t>Melville's Bartleby The Scrivener &amp; Benito Cereno</t>
  </si>
  <si>
    <t>You Paid How Much for That?! : How to Win at Money Without Losing at Love</t>
  </si>
  <si>
    <t>Themes in Latin American Cinema : A Critical Survey</t>
  </si>
  <si>
    <t>Fashion and Orientalism : Dress, Textiles and Culture from the 17th to the 21st Century</t>
  </si>
  <si>
    <t>Formulaic Sequences : Acquisition, processing and use</t>
  </si>
  <si>
    <t>Archi. Pop : Mediating Architecture in Popular Culture</t>
  </si>
  <si>
    <t>Social Identity Processes : Trends in Theory and Research</t>
  </si>
  <si>
    <t>In the Peanut Gallery with Mystery Science Theater 3000 : Essays on Film, Fandom, Technology and the Culture of Riffing</t>
  </si>
  <si>
    <t>Happy Lives and the Highest Good : An Essay on Aristotle's Nicomachean Ethics</t>
  </si>
  <si>
    <t>No Enchanted Palace : The End of Empire and the Ideological Origins of the United Nations</t>
  </si>
  <si>
    <t>Academic Instincts</t>
  </si>
  <si>
    <t>The Myth of Popular Culture : From Dante to Dylan</t>
  </si>
  <si>
    <t>Jazz Matters : Sound, Place, and Time since Bebop</t>
  </si>
  <si>
    <t>The Chosen Few : How Education Shaped Jewish History, 70-1492</t>
  </si>
  <si>
    <t>Celluloid Symphonies : Texts and Contexts in Film Music History</t>
  </si>
  <si>
    <t>Why Jazz Happened</t>
  </si>
  <si>
    <t>Oprah : The Gospel of an Icon</t>
  </si>
  <si>
    <t>Special Stories for Disability Awareness : Stories and Activities for Teachers, Parents and Professionals</t>
  </si>
  <si>
    <t>Intersectional Approach : Transforming the Academy through Race, Class, and Gender</t>
  </si>
  <si>
    <t>Enacting the Corporation : An American Mining Firm in Post-Authoritarian Indonesia</t>
  </si>
  <si>
    <t>Mass Imprisonment : Social Causes and Consequences</t>
  </si>
  <si>
    <t>Sikhism Today</t>
  </si>
  <si>
    <t>Sold American : Consumption and Citizenship, 1890-1945</t>
  </si>
  <si>
    <t>Island Queens and Mission Wives : How Gender and Empire Remade Hawai'I's Pacific World</t>
  </si>
  <si>
    <t>Against Security : How We Go Wrong at Airports, Subways, and Other Sites of Ambiguous Danger</t>
  </si>
  <si>
    <t>Fictions in Autobiography : Studies in the Art of Self-Invention</t>
  </si>
  <si>
    <t>Addiction : Evolution of a Specialist Field</t>
  </si>
  <si>
    <t>Tarot and Other Meditation Decks : History, Theory, Aesthetics, Typology</t>
  </si>
  <si>
    <t>The Six Day Horror Movie : A No-Nonsense Guide to No-Budget Filmmaking</t>
  </si>
  <si>
    <t>Psychologism and Psychoaesthetics : A historical and critical view of their relations</t>
  </si>
  <si>
    <t>Corporate Finance : A Practical Approach</t>
  </si>
  <si>
    <t>Metamorphoses</t>
  </si>
  <si>
    <t>Mediterranean Diet Cookbook for Dummies</t>
  </si>
  <si>
    <t>Ethical Issues in Six Religious Traditions</t>
  </si>
  <si>
    <t>Financial Statement Analysis : A Practitioner's Guide</t>
  </si>
  <si>
    <t>Poetry of the Revolution : Marx, Manifestos, and the Avant-Gardes</t>
  </si>
  <si>
    <t>Transformation Through Journal Writing : The Art of Self-Reflection for the Helping Professions</t>
  </si>
  <si>
    <t>Borrowing Constitutional Designs : Constitutional Law in Weimar Germany and the French Fifth Republic</t>
  </si>
  <si>
    <t>Doing Discourse Analysis : Methods for Studying Action in Talk and Text</t>
  </si>
  <si>
    <t>The Methuen Drama Guide to Contemporary Irish Playwrights</t>
  </si>
  <si>
    <t>Revisiting Normativity with Deleuze</t>
  </si>
  <si>
    <t>Confucius : A Guide for the Perplexed</t>
  </si>
  <si>
    <t>Sociocultural and Historical Contexts of African American English</t>
  </si>
  <si>
    <t>The Development of African American English</t>
  </si>
  <si>
    <t>The Bogleheads' Guide to Retirement Planning</t>
  </si>
  <si>
    <t>Anger Management for Dummies</t>
  </si>
  <si>
    <t>America's Asia : Racial Form and American Literature, 1893-1945</t>
  </si>
  <si>
    <t>School Lunch Politics : The Surprising History of America's Favorite Welfare Program</t>
  </si>
  <si>
    <t>Racism : A Short History</t>
  </si>
  <si>
    <t>A Companion to Classical Receptions</t>
  </si>
  <si>
    <t>A Companion to American Indian History</t>
  </si>
  <si>
    <t>The New Division of Labor : How Computers Are Creating the Next Job Market</t>
  </si>
  <si>
    <t>Pullman Porters and the Rise of  Protest Politics in Black America, 1925-1945</t>
  </si>
  <si>
    <t>M&amp;a Titans : The Pioneers Who Shaped Wall Street's Mergers and Acquisitions Industry</t>
  </si>
  <si>
    <t>The Managed Heart : Commercialization of Human Feeling</t>
  </si>
  <si>
    <t>The Politics of Force : Media and the Construction of Police Brutality</t>
  </si>
  <si>
    <t>Controversies In the Study of Religion : Understanding Religious Sacrifice: a Reader</t>
  </si>
  <si>
    <t>Red and Black in Haiti : Radicalism, Conflict, and Political Change, 1934-1957</t>
  </si>
  <si>
    <t>Trading ETFs : Gaining an Edge with Technical Analysis</t>
  </si>
  <si>
    <t>Playing Gods : Ovid's Metamorphoses and the Politics of Fiction</t>
  </si>
  <si>
    <t>Key Terms in Philosophy of Religion</t>
  </si>
  <si>
    <t>Iran in Crisis? : Nuclear Ambitions and the American Response</t>
  </si>
  <si>
    <t>Wittgenstein and Gadamer : Towards a Post-Analytic Philosophy of Language</t>
  </si>
  <si>
    <t>Analysing Popular Music : Image, Sound and Text</t>
  </si>
  <si>
    <t>Reimagining the Soul : Afterlife in the Age of Matter</t>
  </si>
  <si>
    <t>Accounting Ethics</t>
  </si>
  <si>
    <t>Persons, Souls, and Death : A Philosophical Investigation of an Afterlife</t>
  </si>
  <si>
    <t>Knowledge Management</t>
  </si>
  <si>
    <t>John Wiley &amp; Sons, Ltd.</t>
  </si>
  <si>
    <t>Neanderthals in Levant (e) : Behavioural Organization and the Beginnings of Human Modernity</t>
  </si>
  <si>
    <t>Chasing Phantoms : Reality, Imagination, and Homeland Security Since 9/11</t>
  </si>
  <si>
    <t>Euro Horror : Classic European Horror Cinema in Contemporary American Culture</t>
  </si>
  <si>
    <t>Taiko Boom : Japanese Drumming in Place and Motion</t>
  </si>
  <si>
    <t>Coping with Stress at University : A Survival Guide</t>
  </si>
  <si>
    <t>Becoming an Ethical Helping Professional : Cultural and Philosophical Foundations</t>
  </si>
  <si>
    <t>Teaching As Leadership : The Highly Effective Teacher's Guide to Closing the Achievement Gap</t>
  </si>
  <si>
    <t>Story/Time : The Life of an Idea</t>
  </si>
  <si>
    <t>Directions in Empirical Literary Studies : In honor of Willie van Peer</t>
  </si>
  <si>
    <t>Erec and Enide</t>
  </si>
  <si>
    <t>Income Distribution in Macroeconomic Models</t>
  </si>
  <si>
    <t>Feminisms, Empowerment and Development : Changing Womens Lives</t>
  </si>
  <si>
    <t>Developing Transactional Analysis Counselling</t>
  </si>
  <si>
    <t>Race in Another America : The Significance of Skin Color in Brazil</t>
  </si>
  <si>
    <t>Results Through Relationships : Building Trust, Performance, and Profit Through People</t>
  </si>
  <si>
    <t>The 10X Rule : The Only Difference Between Success and Failure</t>
  </si>
  <si>
    <t>Divorcing Children : Children's Experience of Their Parents' Divorce</t>
  </si>
  <si>
    <t>The Sociology of Gender : An Introduction to Theory and Research</t>
  </si>
  <si>
    <t>Effective Grant Writing and Program Evaluation for Human Service Professionals : An Evidence-Based Approach</t>
  </si>
  <si>
    <t>Time Management for Dummies - UK</t>
  </si>
  <si>
    <t>Music for Special Kids : Musical Activities, Songs, Instruments and Resources</t>
  </si>
  <si>
    <t>Literacy and Education : Understanding the New Literacy Studies in the Classroom</t>
  </si>
  <si>
    <t>Learning-to-Write and Writing-to-Learn in an Additional Language</t>
  </si>
  <si>
    <t>Translation and Creation : Readings of Western Literature in Early Modern China, 1840–1918</t>
  </si>
  <si>
    <t>Introduction to Intelligent Systems in Traffic and Transportation : In Traffic and Transportation</t>
  </si>
  <si>
    <t>Essential Radio Skills : How to Present a Radio Show</t>
  </si>
  <si>
    <t>Jean Piaget</t>
  </si>
  <si>
    <t>Two Cheers for Anarchism : Six Easy Pieces on Autonomy, Dignity, and Meaningful Work and Play</t>
  </si>
  <si>
    <t>Hollywood Quarterly : Film Culture in Postwar America, 1945-1957</t>
  </si>
  <si>
    <t>After Globalization</t>
  </si>
  <si>
    <t>Therapeutic Work with Sexually Abused Children</t>
  </si>
  <si>
    <t>Organizational Change : Creating Change Through Strategic Communication</t>
  </si>
  <si>
    <t>Counseling Multiracial Families</t>
  </si>
  <si>
    <t>Making Better Decisions : Decision Theory in Practice</t>
  </si>
  <si>
    <t>The Psychology of the Foreign Exchange Market</t>
  </si>
  <si>
    <t>Tsukiji : The Fish Market at the Center of the World</t>
  </si>
  <si>
    <t>Education, Refugees and Asylum Seekers</t>
  </si>
  <si>
    <t>The Time of the Tribes : The Decline of Individualism in Mass Society</t>
  </si>
  <si>
    <t>Ancient History : Monuments and Documents</t>
  </si>
  <si>
    <t>The Confusions of Pleasure : Commerce and Culture in Ming China</t>
  </si>
  <si>
    <t>The Consumer Society : Myths and Structures</t>
  </si>
  <si>
    <t>Public Passions : The Trial of Shi Jianqiao and the Rise of Popular Sympathy in Republican China</t>
  </si>
  <si>
    <t>Is There Life after Death? : An Examination of the Empirical Evidence</t>
  </si>
  <si>
    <t>The Purchase of Intimacy</t>
  </si>
  <si>
    <t>Radio Goes to War : The Cultural Politics of Propaganda During World War II</t>
  </si>
  <si>
    <t>A Concise Companion to Shakespeare and the Text</t>
  </si>
  <si>
    <t>The Roman Games : Historical Sources in Translation</t>
  </si>
  <si>
    <t>It's All for the Kids : Gender, Families, and Youth Sports</t>
  </si>
  <si>
    <t>Weight Bias : Nature, Consequences, and Remedies</t>
  </si>
  <si>
    <t>The Age of Wild Ghosts : Memory, Violence and Place in Southwest China</t>
  </si>
  <si>
    <t>Performance Studies in Motion : International Perspectives and Practices in the Twenty-First Century</t>
  </si>
  <si>
    <t>Making Knowledge : Explorations of the Indissoluble Relation Between Mind, Body and Environment</t>
  </si>
  <si>
    <t>Bust : Greece, the Euro and the Sovereign Debt Crisis</t>
  </si>
  <si>
    <t>Multimedia-Based Instructional Design : Computer-Based Training - Web-Based Training - Distance Broadcast Training - Performance-Based Solutions</t>
  </si>
  <si>
    <t>Political Work of Northern Women Writers and the Civil War, 1850-1872</t>
  </si>
  <si>
    <t>Bach's Cello Suites, Volumes 1 And 2 : Analyses and Explorations</t>
  </si>
  <si>
    <t>Music Therapy and Neurological Rehabilitation : Performing Health</t>
  </si>
  <si>
    <t>Effective Group Work with Young People</t>
  </si>
  <si>
    <t>Imperial Rome AD 284 to 363 : The New Empire</t>
  </si>
  <si>
    <t>Sentimental Mode : Essays in Literature, Film and Television</t>
  </si>
  <si>
    <t>Investing in Real Estate</t>
  </si>
  <si>
    <t>A Companion to Medieval Poetry</t>
  </si>
  <si>
    <t>Multiple Identities : Migrants, Ethnicity, and Membership</t>
  </si>
  <si>
    <t>Handbook of Race, Racism, and the Developing Child</t>
  </si>
  <si>
    <t>Empires of the Silk Road : A History of Central Eurasia from the Bronze Age to the Present</t>
  </si>
  <si>
    <t>Reader's Guides : Rawls's 'A Theory of Justice'</t>
  </si>
  <si>
    <t>Twelfth Night: Language and Writing</t>
  </si>
  <si>
    <t>Supply Chains and Total Product Systems : A Reader</t>
  </si>
  <si>
    <t>Handbook of Children, Culture, and Violence</t>
  </si>
  <si>
    <t>Australian History for Dummies</t>
  </si>
  <si>
    <t>Cheating in School : What We Know and What We Can Do</t>
  </si>
  <si>
    <t>Making Cities Work : Prospects and Policies for Urban America</t>
  </si>
  <si>
    <t>Truth and Method</t>
  </si>
  <si>
    <t>W. E. B. du Bois and the Souls of Black Folk</t>
  </si>
  <si>
    <t>The Other Women's Movement : Workplace Justice and Social Rights in Modern America</t>
  </si>
  <si>
    <t>Autism and Loss</t>
  </si>
  <si>
    <t>Detox Diets for Dummies</t>
  </si>
  <si>
    <t>Social Work in Mental Health : An Evidence-Based Approach</t>
  </si>
  <si>
    <t>Tao - a New Way of Thinking : A Translation of the Tao Tê Ching with an Introduction and Commentaries</t>
  </si>
  <si>
    <t>Vegetable Production and Marketing in Africa : Socio-economic Research</t>
  </si>
  <si>
    <t>SharePoint 2010 All-In-One for Dummies</t>
  </si>
  <si>
    <t>Socrates</t>
  </si>
  <si>
    <t>Promoting Diversity and Social Justice : Educating People from Privileged Groups</t>
  </si>
  <si>
    <t>Thinking Through Feelings : God, Emotion and Passibility</t>
  </si>
  <si>
    <t>Dacha Idylls : Living Organically in Russia's Countryside</t>
  </si>
  <si>
    <t>Bach's Cycle, Mozart's Arrow : An Essay on the Origins of Musical Modernity</t>
  </si>
  <si>
    <t>Religion: Key Concepts in Philosophy</t>
  </si>
  <si>
    <t>Rise of the American Circus, 1716-1899</t>
  </si>
  <si>
    <t>Eugenic Nation : Faults and Frontiers of Better Breeding in Modern America</t>
  </si>
  <si>
    <t>Rednecks, Queers, and Country Music</t>
  </si>
  <si>
    <t>Werewolves and Other Shapeshifters in Popular Culture : A Thematic Analysis of Recent Depictions</t>
  </si>
  <si>
    <t>Redeeming - The Prince : The Meaning of Machiavelli's Masterpiece</t>
  </si>
  <si>
    <t>Schopenhauer</t>
  </si>
  <si>
    <t>The Opium War, 1840-1842 : Barbarians in the Celestial Empire in the Early Part of the Nineteenth Century and the War by Which They Forced Her Gates Ajar</t>
  </si>
  <si>
    <t>Reproducing Empire : Race, Sex, Science, and U. S. Imperialism in Puerto Rico</t>
  </si>
  <si>
    <t>Essentials of Research Design and Methodology</t>
  </si>
  <si>
    <t>Game, Set, Match : Billie Jean King and the Revolution in Women's Sports</t>
  </si>
  <si>
    <t>Making Sense of Near-Death Experiences : A Handbook for Clinicians</t>
  </si>
  <si>
    <t>Beyond Sustainability : A Thriving Environment</t>
  </si>
  <si>
    <t>Religion, Literature and the Imagination : Sacred Worlds</t>
  </si>
  <si>
    <t>Bicycles in American Highway Planning : The Critical Years of Policy-Making, 1969-1991</t>
  </si>
  <si>
    <t>Introductory Financial Accounting</t>
  </si>
  <si>
    <t>Emblems of Eloquence : Opera and Women's Voices in Seventeenth-Century Venice</t>
  </si>
  <si>
    <t>The Environment and World History : Environment and World History</t>
  </si>
  <si>
    <t>Skulls to the Living, Bread to the Dead : The Day of the Dead in Mexico and Beyond</t>
  </si>
  <si>
    <t>The Psychology of B F Skinner</t>
  </si>
  <si>
    <t>The Tempest: a Critical Reader</t>
  </si>
  <si>
    <t>Roots of Musicality : Music Therapy and Personal Development</t>
  </si>
  <si>
    <t>Analytical Music Therapy</t>
  </si>
  <si>
    <t>What's Wrong with the Poor? : Psychiatry, Race, and the War on Poverty</t>
  </si>
  <si>
    <t>Freemason Symbols and Ceremonies For Dummies</t>
  </si>
  <si>
    <t>Making Poverty : A History</t>
  </si>
  <si>
    <t>Cross-Linguistic Structures in Simultaneous Bilingualism</t>
  </si>
  <si>
    <t>Child and Adolescent Suicidal Behavior : School-Based Prevention, Assessment, and Intervention</t>
  </si>
  <si>
    <t>Social Work in Schools : Principles and Practice</t>
  </si>
  <si>
    <t>Discourse of Silence</t>
  </si>
  <si>
    <t>Vocabulary Acquisition : Implications for Reading Comprehension</t>
  </si>
  <si>
    <t>The Advent Project : The Later Seventh-Century Creation of the Roman Mass Proper</t>
  </si>
  <si>
    <t>The McDonaldization Thesis : Explorations and Extensions</t>
  </si>
  <si>
    <t>Handbook for Developing Emotional and Social Intelligence : Best Practices, Case Studies, and Strategies</t>
  </si>
  <si>
    <t>Intimate Partner Sexual Violence : A Multidisciplinary Guide to Improving Services and Support for Survivors of Rape and Abuse</t>
  </si>
  <si>
    <t>Batman Filmography</t>
  </si>
  <si>
    <t>Social Media Marketing</t>
  </si>
  <si>
    <t>The Making of Modern Colombia : A Nation in Spite of Itself</t>
  </si>
  <si>
    <t>Synesthesia and the Arts</t>
  </si>
  <si>
    <t>The Alexander Technique for Musicians</t>
  </si>
  <si>
    <t>Sovereign Bodies : Citizens, Migrants, and States in the Postcolonial World</t>
  </si>
  <si>
    <t>Caring : A Relational Approach to Ethics and Moral Education</t>
  </si>
  <si>
    <t>Animators of Film and Television : Nineteen Artists, Writers, Producers and Others</t>
  </si>
  <si>
    <t>Korean Horror Cinema</t>
  </si>
  <si>
    <t>Grimm Legacies : The Magic Spell of the Grimms' Folk and Fairy Tales</t>
  </si>
  <si>
    <t>The Economics of Imperfect Labor Markets : Second Edition</t>
  </si>
  <si>
    <t>Gender Communication Theories and Analyses : From Silence to Performance</t>
  </si>
  <si>
    <t>Why We Curse : A Neuro-Psycho-Social Theory of Speech</t>
  </si>
  <si>
    <t>Unofficial Guide to Walt Disney World with Kids</t>
  </si>
  <si>
    <t>A History of the Classical Greek World : 478 - 323 BC</t>
  </si>
  <si>
    <t>Fashion and Art</t>
  </si>
  <si>
    <t>Responses to Language Endangerment : In honor of Mickey Noonan. New directions in language documentation and language revitalization</t>
  </si>
  <si>
    <t>An Illustrated Brief History of Western Philosophy</t>
  </si>
  <si>
    <t>Key Features and Parameters in Arabic Grammar</t>
  </si>
  <si>
    <t>A Source Book in Chinese Philosophy</t>
  </si>
  <si>
    <t>Shell Shock Cinema : Weimar Culture and the Wounds of War</t>
  </si>
  <si>
    <t>Athenian Empire</t>
  </si>
  <si>
    <t>The Ancient Greeks for Dummies</t>
  </si>
  <si>
    <t>Work and Welfare</t>
  </si>
  <si>
    <t>The Becoming of Age : Cinematic Visions of Mind, Body and Identity in Later Life</t>
  </si>
  <si>
    <t>Modern Greece : A History Since 1821</t>
  </si>
  <si>
    <t>Shakespeare Attacks Bigotry : A Close Reading of Six Plays</t>
  </si>
  <si>
    <t>The Romans in the Age of Augustus</t>
  </si>
  <si>
    <t>Immigrant America : A Portrait</t>
  </si>
  <si>
    <t>Everything Was Forever, until It Was No More : The Last Soviet Generation</t>
  </si>
  <si>
    <t>Alexander of Macedon, 356-323 B. C. : A Historical Biography</t>
  </si>
  <si>
    <t>Graduation Debt : How to Manage Student Loans and Live Your Life</t>
  </si>
  <si>
    <t>Essentials of Response to Intervention</t>
  </si>
  <si>
    <t>Irresistible Forces : The Business Legacy of Napster and the Growth of the Underground Internet</t>
  </si>
  <si>
    <t>Systems Approach to Management of Disasters : Methods and Applications</t>
  </si>
  <si>
    <t>The Dollar Trap : How the U. S. Dollar Tightened Its Grip on Global Finance</t>
  </si>
  <si>
    <t>Religion and Politics in the Age of the Counterreformation : Emperor Ferdinand II, William Lamormaini, S.J., and the Formation of the Imperial Policy</t>
  </si>
  <si>
    <t>Women in the Middle East : Past and Present</t>
  </si>
  <si>
    <t>African American Studies</t>
  </si>
  <si>
    <t>How Race Is Made : Slavery, Segregation, and the Senses</t>
  </si>
  <si>
    <t>Mexicanos, Second Edition : A History of Mexicans in the United States</t>
  </si>
  <si>
    <t>Effective Health Risk Messages : A Step-By-Step Guide</t>
  </si>
  <si>
    <t>Feminism is Queer : The Intimate Connection between Queer and Feminist Theory</t>
  </si>
  <si>
    <t>Pageants, Parlors, and Pretty Women : Race and Beauty in the Twentieth-Century South</t>
  </si>
  <si>
    <t>Case Study Research in Practice</t>
  </si>
  <si>
    <t>Reclaiming the F Word : Feminism Today</t>
  </si>
  <si>
    <t>Christmas : A Candid History</t>
  </si>
  <si>
    <t>Investing for Dummies</t>
  </si>
  <si>
    <t>Jazz/Not Jazz : The Music and Its Boundaries</t>
  </si>
  <si>
    <t>The Amazing Bud Powell : Black Genius, Jazz History, and the Challenge of Bebop</t>
  </si>
  <si>
    <t>Contested Knowledge : Social Theory Today</t>
  </si>
  <si>
    <t>Inventing the Criminal : A History of German Criminology, 1880-1945</t>
  </si>
  <si>
    <t>Arrested Development and Philosophy : They've Made a Huge Mistake</t>
  </si>
  <si>
    <t>A History of Women in Russia : From Earliest Times to the Present</t>
  </si>
  <si>
    <t>After Art</t>
  </si>
  <si>
    <t>Teach Yourself VISUALLY Handspinning</t>
  </si>
  <si>
    <t>Catalysis by Polymers</t>
  </si>
  <si>
    <t>Birthing a Mother : The Surrogate Body and the Pregnant Self</t>
  </si>
  <si>
    <t>J Dilla's Donuts</t>
  </si>
  <si>
    <t>Closely Watched Films : An Introduction to the Art of Narrative Film Technique</t>
  </si>
  <si>
    <t>Making Marriage Work : A History of Marriage and Divorce in the Twentieth-Century United States</t>
  </si>
  <si>
    <t>Karl Marx, Anthropologist</t>
  </si>
  <si>
    <t>Golden Holocaust : Origins of the Cigarette Catastrophe and the Case for Abolition</t>
  </si>
  <si>
    <t>Young People and Alcohol : Impact, Policy, Prevention, Treatment</t>
  </si>
  <si>
    <t>Creatures of Politics : Media, Message, and the American Presidency</t>
  </si>
  <si>
    <t>The Making of Black Detroit in the Age of Henry Ford</t>
  </si>
  <si>
    <t>Stress, Coping, and Development : An Integrative Perspective</t>
  </si>
  <si>
    <t>James Joyce : A Critical Guide</t>
  </si>
  <si>
    <t>Teaching at Its Best : A Research-Based Resource for College Instructors</t>
  </si>
  <si>
    <t>Modern Bodies : Dance and American Modernism from Martha Graham to Alvin Ailey</t>
  </si>
  <si>
    <t>A Critical History of Early Rome : From Prehistory to the First Punic War</t>
  </si>
  <si>
    <t>Coming Swarm : DDOS Actions, Hacktivism, and Civil Disobedience on the Internet</t>
  </si>
  <si>
    <t>Augustus</t>
  </si>
  <si>
    <t>Science Fiction Cinema : Between Fantasy and Reality</t>
  </si>
  <si>
    <t>100 Must-Read Science Fiction Novels : Bloomsbury Good Reading Guides</t>
  </si>
  <si>
    <t>How to Break Bad News to People with Intellectual Disabilities : A Guide for Careers and Professionals</t>
  </si>
  <si>
    <t>Coalitions and Partnerships in Community Health</t>
  </si>
  <si>
    <t>The Women, Gender and Development Reader</t>
  </si>
  <si>
    <t>Film Noir and the Cinema of Paranoia</t>
  </si>
  <si>
    <t>50 Key Concepts in Gender Studies</t>
  </si>
  <si>
    <t>Black Culture and the New Deal : The Quest for Civil Rights in the Roosevelt Era</t>
  </si>
  <si>
    <t>Nelson Mandela : The Black Pimpernel</t>
  </si>
  <si>
    <t>Quality in Professional Translation : Assessment and Improvement</t>
  </si>
  <si>
    <t>Culture and Everyday Life</t>
  </si>
  <si>
    <t>Hinduism and The 1960s : The Rise of a Counter-Culture</t>
  </si>
  <si>
    <t>The Blackwell Guide to Literary Theory</t>
  </si>
  <si>
    <t>A Student Handbook to the Plays of Tennessee Williams : The Glass Menagerie; a Streetcar Named Desire; Cat on a Hot Tin Roof; Sweet Bird of Youth</t>
  </si>
  <si>
    <t>Living Silence in Burma : Surviving under Military Rule</t>
  </si>
  <si>
    <t>Social and Cultural Aspects of Language Learning in Study Abroad</t>
  </si>
  <si>
    <t>Constructing Co-Cultural Theory : An Explication of Culture, Power, and Communication</t>
  </si>
  <si>
    <t>The Theatre of Tennessee Williams</t>
  </si>
  <si>
    <t>Terror in the Mind of God : The Global Rise of Religious Violence</t>
  </si>
  <si>
    <t>History of the Oratorio : Vol. 2: the Oratorio in the Baroque Era: Protestant Germany and England</t>
  </si>
  <si>
    <t>Bolivia : Processes of Change</t>
  </si>
  <si>
    <t>Culturally Adaptive Counseling Skills : Demonstrations of Evidence-Based Practices</t>
  </si>
  <si>
    <t>Sourcebook on Rhetoric : Key Concepts in Contemporary Rhetorical Studies</t>
  </si>
  <si>
    <t>Friction : An Ethnography of Global Connection</t>
  </si>
  <si>
    <t>The Fattening of America : How the Economy Makes Us Fat, If It Matters, and What to Do about It</t>
  </si>
  <si>
    <t>The Death and Life of the Music Industry in the Digital Age</t>
  </si>
  <si>
    <t>Person-Centred Therapy Today : New Frontiers in Theory and Practice</t>
  </si>
  <si>
    <t>Marx after Marxism : The Philosophy of Karl Marx</t>
  </si>
  <si>
    <t>Alexander the Great : A New History</t>
  </si>
  <si>
    <t>European Literature and the Latin Middle Ages</t>
  </si>
  <si>
    <t>Effective Proposal Writing</t>
  </si>
  <si>
    <t>Aion : Researches into the Phenomenology of the Self</t>
  </si>
  <si>
    <t>Media in Russia</t>
  </si>
  <si>
    <t>Honey, Olives, Octopus : Adventures at the Greek Table</t>
  </si>
  <si>
    <t>Key Concepts in Body and Society</t>
  </si>
  <si>
    <t>Frommer's Greece</t>
  </si>
  <si>
    <t>The Anti-Bullying Handbook</t>
  </si>
  <si>
    <t>Anatomy of a Short Story : Nabokov's Puzzles, Codes, Signs and Symbols</t>
  </si>
  <si>
    <t>PHR / SPHR Professional in Human Resources Certification Study Guide : Professional in Human Resources Certification Study Guide</t>
  </si>
  <si>
    <t>Machiavelli's The Prince</t>
  </si>
  <si>
    <t>Alice Guy Blaché : Lost Visionary of the Cinema</t>
  </si>
  <si>
    <t>Organizational Ethics in Health Care : Principles, Cases, and Practical Solutions</t>
  </si>
  <si>
    <t>Marriage, Divorce, and Children's Adjustment</t>
  </si>
  <si>
    <t>Language in the Visual Arts : The Interplay of Text and Imagery</t>
  </si>
  <si>
    <t>Food and Philosophy : Eat, Think, and Be Merry</t>
  </si>
  <si>
    <t>Color and Design</t>
  </si>
  <si>
    <t>Media Archaeology : Approaches, Applications, and Implications</t>
  </si>
  <si>
    <t>New History of Shinto</t>
  </si>
  <si>
    <t>Mirror, Mirror : The Uses and Abuses of Self-Love</t>
  </si>
  <si>
    <t>Driven to Lead : Good, Bad, and Misguided Leadership</t>
  </si>
  <si>
    <t>Hypersexuality and Headscarves : Race, Sex, and Citizenship in the New Germany</t>
  </si>
  <si>
    <t>The Jossey-Bass Reader on Contemporary Issues in Adult Education</t>
  </si>
  <si>
    <t>Who Are the Criminals? : The Politics of Crime Policy from the Age of Roosevelt to the Age of Reagan</t>
  </si>
  <si>
    <t>Aftermath : Violence and the Remaking of a Self</t>
  </si>
  <si>
    <t>Strategic Tools for Social Entrepreneurs : Enhancing the Performance of Your Enterprising Nonprofit</t>
  </si>
  <si>
    <t>RTI Applications, Volume 2 : Assessment, Analysis, and Decision Making</t>
  </si>
  <si>
    <t>Repeating Ourselves : American Minimal Music As Cultural Practice</t>
  </si>
  <si>
    <t>Comprehensive Evaluations : Case Reports for Psychologists, Diagnosticians, and Special Educators</t>
  </si>
  <si>
    <t>50 Great Myths of Popular Psychology : Shattering Widespread Misconceptions about Human Behavior</t>
  </si>
  <si>
    <t>Rebel Women : Staging Ancient Greek Drama Today</t>
  </si>
  <si>
    <t>Reframing Organizations, CafeScribe : Artistry, Choice and Leadership</t>
  </si>
  <si>
    <t>GRE For Dummies</t>
  </si>
  <si>
    <t>A Companion to Latina/o Studies</t>
  </si>
  <si>
    <t>Social Justice Counseling : The Next Steps Beyond Multiculturalism</t>
  </si>
  <si>
    <t>College Drinking and Drug Use</t>
  </si>
  <si>
    <t>Graphic Novels and Comics in Libraries and Archives : Essays on Readers, Research, History and Cataloging</t>
  </si>
  <si>
    <t>Popular Ghosts : The Haunted Spaces of Everyday Culture</t>
  </si>
  <si>
    <t>Study Skills : A Teaching Programme for Students in Schools and Colleges</t>
  </si>
  <si>
    <t>In Amazonia : A Natural History</t>
  </si>
  <si>
    <t>The Age of Catastrophe : Disaster and Humanity in Modern Times</t>
  </si>
  <si>
    <t>Reimagining Indian Country : Native American Migration and Identity in Twentieth-Century Los Angeles</t>
  </si>
  <si>
    <t>Coffee : Philosophy for Everyone : Grounds for Debate</t>
  </si>
  <si>
    <t>Medical Statistics from Scratch : An Introduction for Health Professionals</t>
  </si>
  <si>
    <t>Feminism and Men</t>
  </si>
  <si>
    <t>Mobile Communications : An Introduction to New Media</t>
  </si>
  <si>
    <t>ACT : American college testing</t>
  </si>
  <si>
    <t>The New Comparative Theology : Interreligious Insights from the Next Generation</t>
  </si>
  <si>
    <t>Armed with Abundance : Consumerism and Soldiering in the Vietnam War</t>
  </si>
  <si>
    <t>Volunteer Management Handbook : Leadership Strategies for Success</t>
  </si>
  <si>
    <t>Sourcebook on Violence Against Women</t>
  </si>
  <si>
    <t>Sports Psychology for Dummies</t>
  </si>
  <si>
    <t>Body Memory, Metaphor and Movement</t>
  </si>
  <si>
    <t>The Googlization of Everything : (And Why We Should Worry)</t>
  </si>
  <si>
    <t>Elite Perceptions of Poverty and Inequality</t>
  </si>
  <si>
    <t>RFID Security and Privacy</t>
  </si>
  <si>
    <t>Group Work with Adolescents, Third Edition : Principles and Practice</t>
  </si>
  <si>
    <t>Generation Zombie : Essays on the Living Dead in Modern Culture</t>
  </si>
  <si>
    <t>Annihilating Difference : The Anthropology of Genocide</t>
  </si>
  <si>
    <t>The Language of the Gods in the World of Men : Sanskrit, Culture, and Power in Premodern India</t>
  </si>
  <si>
    <t>Brewing up a Business : Adventures in Beer from the Founder of Dogfish Head Craft Brewery</t>
  </si>
  <si>
    <t>The Student Loan Mess : How Good Intentions Created a Trillion-Dollar Problem</t>
  </si>
  <si>
    <t>Heaven's Door : Immigration Policy and the American Economy</t>
  </si>
  <si>
    <t>Science and the Detective : Selected Reading in Forensic Science</t>
  </si>
  <si>
    <t>Cognitive Linguistics : An Introduction</t>
  </si>
  <si>
    <t>Managing Technology in Higher Education : Strategies for Transforming Teaching and Learning</t>
  </si>
  <si>
    <t>Grief in Young Children : A Handbook for Adults</t>
  </si>
  <si>
    <t>Urban Recycling and the Search for Sustainable Community Development</t>
  </si>
  <si>
    <t>Doing "Women's Work" : Men in Nontraditional Occupations</t>
  </si>
  <si>
    <t>Philosophy of Mind : A Comprehensive Introduction</t>
  </si>
  <si>
    <t>Forensic Psychology</t>
  </si>
  <si>
    <t>Fiction of Autobiography : Reading and Writing Identity</t>
  </si>
  <si>
    <t>The Art of Social Theory</t>
  </si>
  <si>
    <t>Sobibor : A History of a Nazi Death Camp</t>
  </si>
  <si>
    <t>Globalization : The Essentials</t>
  </si>
  <si>
    <t>Global Culture : Nationalism, Globalization and Modernity</t>
  </si>
  <si>
    <t>Europe's Troubled Peace : 1945 to the Present</t>
  </si>
  <si>
    <t>A Brief History of Death</t>
  </si>
  <si>
    <t>Cannabis - Philosophy for Everyone : What Were We Just Talking About?</t>
  </si>
  <si>
    <t>Take a Closer Look</t>
  </si>
  <si>
    <t>Quest of Her Own : Essays on the Female Hero in Modern Fantasy</t>
  </si>
  <si>
    <t>Net Entrepreneurs Only : 10 Entrepreneurs Tell the Stories of Their Success</t>
  </si>
  <si>
    <t>Complete Guide to Referencing and Avoiding Plagiarism</t>
  </si>
  <si>
    <t>Beyond a Border : The Causes and Consequences of Contemporary Immigration</t>
  </si>
  <si>
    <t>Nutrition for Dummies</t>
  </si>
  <si>
    <t>Darfur : A New History of a Long War</t>
  </si>
  <si>
    <t>Google+ for Dummies</t>
  </si>
  <si>
    <t>Regulation of Securities, Markets, and Transactions : A Guide to the New Environment</t>
  </si>
  <si>
    <t>Tools for Radical Democracy : How to Organize for Power in Your Community</t>
  </si>
  <si>
    <t>Handbook of Families and Poverty</t>
  </si>
  <si>
    <t>Nation-States and the Multinational Corporation : A Political Economy of Foreign Direct Investment</t>
  </si>
  <si>
    <t>Return of the Black Death : The World's Greatest Serial Killer</t>
  </si>
  <si>
    <t>Wedding Etiquette for Dummies</t>
  </si>
  <si>
    <t>The SAGE Handbook of Feminist Theory</t>
  </si>
  <si>
    <t>Before and After 9/11 : A Philosophical Examination of Globalization, Terror, and History</t>
  </si>
  <si>
    <t>Visual Language of Comics : Introduction to the Structure and Cognition of Sequential Images.</t>
  </si>
  <si>
    <t>The Colors of Grief : Understanding a Child's Journey Through Loss from Birth to Adulthood</t>
  </si>
  <si>
    <t>Dramatic Revisions of Myths, Fairy Tales and Legends : Essays on Recent Plays</t>
  </si>
  <si>
    <t>The Little Book That Still Beats the Market : Little Book that Still Beats the Market (2nd Edition)</t>
  </si>
  <si>
    <t>Children's Learning in a Digital World</t>
  </si>
  <si>
    <t>Microaggressions in Everyday Life : Race, Gender, and Sexual Orientation</t>
  </si>
  <si>
    <t>Crochet Stitches VISUAL Encyclopedia</t>
  </si>
  <si>
    <t>Empty Houses : Theatrical Failure and the Novel</t>
  </si>
  <si>
    <t>The Truth about Leadership : The No-Fads, Heart-of-the-Matter Facts You Need to Know</t>
  </si>
  <si>
    <t>Lives of the Caesars</t>
  </si>
  <si>
    <t>Bottled Up : How the Way We Feed Babies Has Come to Define Motherhood, and Why It Shouldn't</t>
  </si>
  <si>
    <t>Blue-Chip Black : Race, Class, and Status in the New Black Middle Class</t>
  </si>
  <si>
    <t>Incomplete Acquisition in Bilingualism : Re-examining the Age Factor</t>
  </si>
  <si>
    <t>Rousseau, the Age of Enlightenment, and Their Legacies</t>
  </si>
  <si>
    <t>The Creative Screenwriter : Exercises to Expand Your Craft</t>
  </si>
  <si>
    <t>American Gulag : Inside U. S. Immigration Prisons</t>
  </si>
  <si>
    <t>Differentiated Reading Instruction : Strategies for the Primary Grades</t>
  </si>
  <si>
    <t>Making Sense of Agile Project Management : Balancing Control and Agility</t>
  </si>
  <si>
    <t>Fame Attack : The Inflation of Celebrity and its Consequences</t>
  </si>
  <si>
    <t>Can't Catch a Break : Gender, Jail, Drugs, and the Limits of Personal Responsibility</t>
  </si>
  <si>
    <t>Home Fires Burning : Food, Politics, and Everyday Life in World War I Berlin</t>
  </si>
  <si>
    <t>Radiohead and the Resistant Concept Album : How to Disappear Completely</t>
  </si>
  <si>
    <t>Laughter Out of Place : Race, Class, Violence, and Sexuality in a Rio Shantytown</t>
  </si>
  <si>
    <t>Cop in the Hood : My Year Policing Baltimore's Eastern District</t>
  </si>
  <si>
    <t>Media and Memory</t>
  </si>
  <si>
    <t>Achieving Excellence in Fundraising : Principles, Strategies and Methods</t>
  </si>
  <si>
    <t>Legalizing Identities : Becoming Black or Indian in Brazil's Northeast</t>
  </si>
  <si>
    <t>K-Pop : Popular Music, Cultural Amnesia, and Economic Innovation in South Korea</t>
  </si>
  <si>
    <t>Guitar All-in-One for Dummies</t>
  </si>
  <si>
    <t>Greek Political Imagery from Homer to Aristotle</t>
  </si>
  <si>
    <t>The Move to Community Policing : Making Change Happen</t>
  </si>
  <si>
    <t>The Challenge of Community Policing : Testing the Promises</t>
  </si>
  <si>
    <t>Stranger Intimacy : Contesting Race, Sexuality and the Law in the North American West</t>
  </si>
  <si>
    <t>Profiting from Clean Energy : A Complete Guide to Trading Green in Solar, Wind, Ethanol, Fuel Cell, Carbon Credit Industries, and More</t>
  </si>
  <si>
    <t>Quick Hits for Service-Learning : Successful Strategies by Award-Winning Teachers</t>
  </si>
  <si>
    <t>Contemporary Perspectives on Serial Murder</t>
  </si>
  <si>
    <t>A Tale of Two Cultures : Qualitative and Quantitative Research in the Social Sciences</t>
  </si>
  <si>
    <t>Service-Learning and Educating in Challenging Contexts : International Perspectives</t>
  </si>
  <si>
    <t>Business of Genocide</t>
  </si>
  <si>
    <t>Third Day at Gettysburg and Beyond</t>
  </si>
  <si>
    <t>National Insecurities : Immigrants and U. S. Deportation Policy Since 1882</t>
  </si>
  <si>
    <t>The Handbook of Scholarly Writing and Publishing</t>
  </si>
  <si>
    <t>Rwanda and the Moral Obligation of Humanitarian Intervention</t>
  </si>
  <si>
    <t>Lev Vygotsky</t>
  </si>
  <si>
    <t>The Historical Jesus : Historical Jesus: a Guide for the Perplexed</t>
  </si>
  <si>
    <t>The Athenian Nation</t>
  </si>
  <si>
    <t>A History of Germany 1918-2008 : The Divided Nation</t>
  </si>
  <si>
    <t>Vocabulary Instruction for Struggling Students</t>
  </si>
  <si>
    <t>Disarmed : The Missing Movement for Gun Control in America</t>
  </si>
  <si>
    <t>Transgenderism and Intersexuality in Childhood and Adolescence : Making Choices</t>
  </si>
  <si>
    <t>Malignant : How Cancer Becomes Us</t>
  </si>
  <si>
    <t>The Imperative of Integration</t>
  </si>
  <si>
    <t>Appreciative Coaching : A Positive Process for Change</t>
  </si>
  <si>
    <t>The Therapy of Desire : Theory and Practice in Hellenistic Ethics</t>
  </si>
  <si>
    <t>The Column of Marcus Aurelius : The Genesis and Meaning of a Roman Imperial Monument</t>
  </si>
  <si>
    <t>Getting In : How Not To Apply to Medical School</t>
  </si>
  <si>
    <t>The GRE® Test for Dummies®</t>
  </si>
  <si>
    <t>Literacy Research Methodologies</t>
  </si>
  <si>
    <t>Introduction to Zionism and Israel : From Ideology to History</t>
  </si>
  <si>
    <t>Google Analytics</t>
  </si>
  <si>
    <t>Making It : Women Entrepreneurs Reveal Their Secrets of Success</t>
  </si>
  <si>
    <t>PRINCE2 for Dummies</t>
  </si>
  <si>
    <t>A Vietnam War Reader : A Documentary History from American and Vietnamese Perspectives</t>
  </si>
  <si>
    <t>The Gold Standard and the Logic of Naturalism : American Literature at the Turn of the Century</t>
  </si>
  <si>
    <t>America Toons In : A History of Television Animation</t>
  </si>
  <si>
    <t>Capturing Sound : How Technology Has Changed Music</t>
  </si>
  <si>
    <t>The Role of the Father in Child Development</t>
  </si>
  <si>
    <t>Gender Violence : A Cultural Perspective</t>
  </si>
  <si>
    <t>Ethnographies of the State in Central Asia : Performing Politics</t>
  </si>
  <si>
    <t>Selling Women Short : Gender Inequality on Wall Street</t>
  </si>
  <si>
    <t>Statistics Essentials for Dummies</t>
  </si>
  <si>
    <t>Career Choice and Development</t>
  </si>
  <si>
    <t>Masculinities, Gender Relations, and Sport</t>
  </si>
  <si>
    <t>No Longer Separate, Not yet Equal : Race and Class in Elite College Admission and Campus Life</t>
  </si>
  <si>
    <t>Confucius and Confucianism : The Essentials</t>
  </si>
  <si>
    <t>College and Career Ready : Helping All Students Succeed Beyond High School</t>
  </si>
  <si>
    <t>Utopia/Dystopia : Conditions of Historical Possibility</t>
  </si>
  <si>
    <t>The Future of Environmental Criticism : Environmental Crisis and Literary Imagination</t>
  </si>
  <si>
    <t>Three Critics of the Enlightenment : Vico, Hamann, Herder</t>
  </si>
  <si>
    <t>Conduct Disorder and Offending Behaviour in Young People : Findings from Research</t>
  </si>
  <si>
    <t>Women Don't Ask : Negotiation and the Gender Divide</t>
  </si>
  <si>
    <t>Rapid Instructional Design : Learning ID Fast and Right</t>
  </si>
  <si>
    <t>Immunization : Childhood and Travel Health</t>
  </si>
  <si>
    <t>Fixed Income Securities : Tools for Today's Markets</t>
  </si>
  <si>
    <t>Reality Radio : Telling True Stories in Sound</t>
  </si>
  <si>
    <t>Philosophical Investigations</t>
  </si>
  <si>
    <t>Blood of Government : Race, Empire, the United States, and the Philippines</t>
  </si>
  <si>
    <t>New Literacies : Multiple Perspectives on Research and Practice</t>
  </si>
  <si>
    <t>Becoming an Urban Planner : A Guide to Careers in Planning and Urban Design</t>
  </si>
  <si>
    <t>The Anthropology of Alternative Medicine</t>
  </si>
  <si>
    <t>Organ And Tissue Donation : An Evidence Base For Practice</t>
  </si>
  <si>
    <t>Fantasy Islands : Chinese Dreams and Ecological Fears in an Age of Climate Crisis</t>
  </si>
  <si>
    <t>From Ideas to Assets : Investing Wisely in Intellectual Property</t>
  </si>
  <si>
    <t>Archaeologies of Colonialism : Consumption, Entanglement, and Violence in Ancient Mediterranean France</t>
  </si>
  <si>
    <t>Empowering Online Learning : 100+ Activities for Reading, Reflecting, Displaying, and Doing</t>
  </si>
  <si>
    <t>Collaborating Online : Learning Together in Community</t>
  </si>
  <si>
    <t>Alcohol : A History</t>
  </si>
  <si>
    <t>Learning to Solve Problems : An Instructional Design Guide</t>
  </si>
  <si>
    <t>Revolutionizing the Family : Politics, Love and Divorce in Urban and Rural China, 1949-1968</t>
  </si>
  <si>
    <t>Cold War Civil Rights : Race and the Image of American Democracy</t>
  </si>
  <si>
    <t>Women Without Class : Girls, Race, and Identity</t>
  </si>
  <si>
    <t>Radiation Safety : Protection and Management for Homeland Security and Emergency Response</t>
  </si>
  <si>
    <t>Orson Welles : Six Films Analyzed, Scene by Scene</t>
  </si>
  <si>
    <t>Nietzsche : Philosopher, Psychologist, Antichrist</t>
  </si>
  <si>
    <t>Aristotle's Ethics : Writings from the Complete Works</t>
  </si>
  <si>
    <t>Focus on Leadership : Servant-Leadership for the Twenty-First Century</t>
  </si>
  <si>
    <t>Recent Theories of Human Development</t>
  </si>
  <si>
    <t>Rachmaninoff's Complete Songs : A Companion with Texts and Translations</t>
  </si>
  <si>
    <t>Bayesian Analysis for the Social Sciences</t>
  </si>
  <si>
    <t>Handbook of Crisis Communication</t>
  </si>
  <si>
    <t>The Politics of Presidential Appointments : Political Control and Bureaucratic Performance</t>
  </si>
  <si>
    <t>Irony and Humor : From pragmatics to discourse</t>
  </si>
  <si>
    <t>Lorine Niedecker : Collected Works</t>
  </si>
  <si>
    <t>Common Sense on Mutual Funds : New Imperatives for the Intelligent Investor</t>
  </si>
  <si>
    <t>Building Expertise : Cognitive Methods for Training and Performance Improvement</t>
  </si>
  <si>
    <t>Ultimate Business Guru Book : 50 Thinkers Who Made Management</t>
  </si>
  <si>
    <t>Impossible Subjects : Illegal Aliens and the Making of Modern America</t>
  </si>
  <si>
    <t>How to Measure Survey Reliability and Validity</t>
  </si>
  <si>
    <t>Heaven and Earth Are Not Humane : The Problem of Evil in Classical Chinese Philosophy</t>
  </si>
  <si>
    <t>Riddle Me This, Batman! : Essays on the Universe of the Dark Knight</t>
  </si>
  <si>
    <t>Urbanism in Aegean Bronze Age</t>
  </si>
  <si>
    <t>The Essential Handbook of Social Anxiety for Clinicians</t>
  </si>
  <si>
    <t>Counselling for Anxiety Problems</t>
  </si>
  <si>
    <t>Uncanny Bodies : The Coming of Sound Film and the Origins of the Horror Genre</t>
  </si>
  <si>
    <t>The Literary Monster on Film : Five Nineteenth Century British Novels and Their Cinematic Adaptations</t>
  </si>
  <si>
    <t>Programming Interviews Exposed : Secrets to Landing Your Next Job</t>
  </si>
  <si>
    <t>Batman and Philosophy : The Dark Knight of the Soul</t>
  </si>
  <si>
    <t>Max Weber in America</t>
  </si>
  <si>
    <t>A Visual Dictionary of Architecture</t>
  </si>
  <si>
    <t>Brazil : A Century of Change</t>
  </si>
  <si>
    <t>Research Methods in Second Language Acquisition : A Practical Guide</t>
  </si>
  <si>
    <t>The Sustainable MBA : The Manager's Guide to Green Business</t>
  </si>
  <si>
    <t>Essentials of Millon Inventories Assessment</t>
  </si>
  <si>
    <t>Pregnancy Cooking and Nutrition for Dummies</t>
  </si>
  <si>
    <t>Crime and Terrorism</t>
  </si>
  <si>
    <t>The Ethics of Torture</t>
  </si>
  <si>
    <t>Social Class and Classism in the Helping Professions : Research, Theory, and Practice</t>
  </si>
  <si>
    <t>The Deepest Wounds : A Labor and Environmental History of Sugar in Northeast Brazil</t>
  </si>
  <si>
    <t>Clinical Anatomy : Applied Anatomy for Students and Junior Doctors</t>
  </si>
  <si>
    <t>Disgraceful Matters : The Politics of Chastity in Eighteenth-Century China</t>
  </si>
  <si>
    <t>International Cuisine</t>
  </si>
  <si>
    <t>Spirituality and Art Therapy : Living the Connection</t>
  </si>
  <si>
    <t>Excel 2010 Workbook for Dummies</t>
  </si>
  <si>
    <t>Enhancing Adult Motivation to Learn : A Comprehensive Guide for Teaching All Adults</t>
  </si>
  <si>
    <t>Creating and Sustaining the Constructivist Classroom</t>
  </si>
  <si>
    <t>Paulo Freire and the Cold War Politics of Literacy</t>
  </si>
  <si>
    <t>The Age of the Vikings</t>
  </si>
  <si>
    <t>Pocket Guide to the Afterlife : Heaven, Hell, and Other Ultimate Destinations</t>
  </si>
  <si>
    <t>Faculty and First-Generation College Students : Bridging the Classroom Gap Together</t>
  </si>
  <si>
    <t>ADHD in the Schools, Third Edition : Assessment and Intervention Strategies</t>
  </si>
  <si>
    <t>First Generation Entry Into Higher Education</t>
  </si>
  <si>
    <t>Stardom and Celebrity : A Reader</t>
  </si>
  <si>
    <t>Moral Wages : The Emotional Dilemmas of Victim Advocacy and Counseling</t>
  </si>
  <si>
    <t>Idriss Déby and the Darfur Conflict</t>
  </si>
  <si>
    <t>Childhood and Adolescence in Society : Selections From CQ Researcher</t>
  </si>
  <si>
    <t>Kant's Philosophy : A Study for Educators</t>
  </si>
  <si>
    <t>The SAGE Handbook of Rhetorical Studies</t>
  </si>
  <si>
    <t>Screen Adaptations: Romeo and Juliet</t>
  </si>
  <si>
    <t>The Byzantines</t>
  </si>
  <si>
    <t>Restorative Justice : How It Works</t>
  </si>
  <si>
    <t>Evolution's Rainbow : Diversity, Gender, and Sexuality in Nature and People</t>
  </si>
  <si>
    <t>Their Greatest Victory : 24 Athletes Who Overcame Disease, Disability and Injury</t>
  </si>
  <si>
    <t>The Bundy Murders : A Comprehensive History</t>
  </si>
  <si>
    <t>American Ethnographic Film and Personal Documentary : The Cambridge Turn</t>
  </si>
  <si>
    <t>Paleo Answer : 7 Days to Lose Weight, Feel Great, Stay Young</t>
  </si>
  <si>
    <t>Writing Instruction and Assessment for English Language Learners K-8 : Guilford Publications</t>
  </si>
  <si>
    <t>A History of Modern Psychology in Context : Incorporating Social, Political, and Economic Factors into the Story</t>
  </si>
  <si>
    <t>Interpretive Ethnography : Ethnographic Practices for the 21st Century</t>
  </si>
  <si>
    <t>Social Marketing to Protect the Environment : What Works</t>
  </si>
  <si>
    <t>Confucius</t>
  </si>
  <si>
    <t>Core Social Work : International Theory, Values and Practice</t>
  </si>
  <si>
    <t>African American Voices : A Documentary Reader, 1619-1877</t>
  </si>
  <si>
    <t>New Encyclopedia of Southern Culture : Volume 1: Religion</t>
  </si>
  <si>
    <t>Living Language : An Introduction to Linguistic Anthropology</t>
  </si>
  <si>
    <t>Education and Technology : Key Issues and Debates</t>
  </si>
  <si>
    <t>Meaning in the History of English : Words and texts in context</t>
  </si>
  <si>
    <t>Super-History : Comic Book Superheroes and American Society, 1938 to the Present</t>
  </si>
  <si>
    <t>Toxic Workplace! : Managing Toxic Personalities and Their Systems of Power</t>
  </si>
  <si>
    <t>Doing Ethnographic and Observational Research</t>
  </si>
  <si>
    <t>Planning and Assessment in Higher Education : Demonstrating Institutional Effectiveness</t>
  </si>
  <si>
    <t>The Slave Next Door : Human Trafficking and Slavery in America Today</t>
  </si>
  <si>
    <t>Liberation Historiography : African American Writers and the Challenge of History, 1794-1861</t>
  </si>
  <si>
    <t>Multicultural Manners : Essential Rules of Etiquette for the 21st Century</t>
  </si>
  <si>
    <t>On Adam Smith's Wealth of Nations : A Philosophical Companion</t>
  </si>
  <si>
    <t>Literary Theory: a Guide for the Perplexed</t>
  </si>
  <si>
    <t>The Book Whisperer : Awakening the Inner Reader in Every Child</t>
  </si>
  <si>
    <t>The Symptom and the Subject : The Emergence of the Physical Body in Ancient Greece</t>
  </si>
  <si>
    <t>Handbook Of Academic Writing : A Fresh Approach</t>
  </si>
  <si>
    <t>Cognitive Behavior Therapy and Eating Disorders</t>
  </si>
  <si>
    <t>CliffsNotes Civil Service Exam Cram Plan</t>
  </si>
  <si>
    <t>How to be Angry : An Assertive Anger Expression Group Guide for Kids and Teens</t>
  </si>
  <si>
    <t>The Modern World-System I : Capitalist Agriculture and the Origins of the European World-Economy in the Sixteenth Century</t>
  </si>
  <si>
    <t>Handbook of the Teaching of Psychology</t>
  </si>
  <si>
    <t>Family Experiences of Bipolar Disorder : The Ups, the Downs and the Bits in Between</t>
  </si>
  <si>
    <t>From the Jaws of Victory : The Triumph and Tragedy of Cesar Chavez and the Farm Worker Movement</t>
  </si>
  <si>
    <t>Weed Land : Inside America's Marijuana Epicenter and How Pot Went Legit</t>
  </si>
  <si>
    <t>Because Digital Writing Matters : Improving Student Writing in Online and Multimedia Environments</t>
  </si>
  <si>
    <t>The Moral Background : An Inquiry into the History of Business Ethics</t>
  </si>
  <si>
    <t>Value by Design : Developing Clinical Microsystems to Achieve Organizational Excellence</t>
  </si>
  <si>
    <t>Coastal Seas : The Conservation Challenge</t>
  </si>
  <si>
    <t>The Conflict Resolution Toolbox : Models and Maps for Analyzing, Diagnosing, and Resolving Conflict</t>
  </si>
  <si>
    <t>Understanding Material Culture</t>
  </si>
  <si>
    <t>Buffy Meets the Academy : Essays on the Episodes and Scripts As Texts</t>
  </si>
  <si>
    <t>Fan Culture : Essays on Participatory Fandom in the 21st Century</t>
  </si>
  <si>
    <t>The Science, Politics, and Ontology of Life-Philosophy</t>
  </si>
  <si>
    <t>Teacher's Guide to ADHD</t>
  </si>
  <si>
    <t>The SAGE Handbook of Qualitative Data Analysis</t>
  </si>
  <si>
    <t>Privacy Lost : How Technology Is Endangering Your Privacy</t>
  </si>
  <si>
    <t>Understanding and Managing Behaviors of Children with Psychological Disorders : A Reference for Classroom Teachers</t>
  </si>
  <si>
    <t>Coming of Age in America : The Transition to Adulthood in the Twenty-First Century</t>
  </si>
  <si>
    <t>Bannockburn : The Scottish War and the British Isles 1307-1323</t>
  </si>
  <si>
    <t>Africa After Gender?</t>
  </si>
  <si>
    <t>Deleuze and Contemporary Art</t>
  </si>
  <si>
    <t>Psychogenesis of Mental Disease : Psychogenesis of Mental Disease</t>
  </si>
  <si>
    <t>Torture and Democracy</t>
  </si>
  <si>
    <t>Restorative Justice for Juveniles : Conferencing, Mediation and Circles</t>
  </si>
  <si>
    <t>Hart Publishing Limited</t>
  </si>
  <si>
    <t>Prosody and Humor</t>
  </si>
  <si>
    <t>World of Ovid's Metamorphoses</t>
  </si>
  <si>
    <t>Fanfares and Finesse : A Performer's Guide to Trumpet History and Literature</t>
  </si>
  <si>
    <t>Introduction to Attic Greek : Answer Key</t>
  </si>
  <si>
    <t>Quantitative Research in Linguistics : An Introduction</t>
  </si>
  <si>
    <t>True Mary Todd Lincoln : A Biography</t>
  </si>
  <si>
    <t>Developmental Psychology in Historical Perspective</t>
  </si>
  <si>
    <t>Big Questions, Worthy Dreams : Mentoring Emerging Adults in Their Search for Meaning, Purpose, and Faith</t>
  </si>
  <si>
    <t>Sociology Of Mental Health And Illness</t>
  </si>
  <si>
    <t>Latin American Fiction : A Short Introduction</t>
  </si>
  <si>
    <t>The Rise of the Network Society, with a New Preface : The Information Age - Economy, Society and Culture</t>
  </si>
  <si>
    <t>Fee-Only Financial Planning : How to Make It Work for You</t>
  </si>
  <si>
    <t>Body Image : A Handbook of Science, Practice, and Prevention</t>
  </si>
  <si>
    <t>Bananas, Beaches and Bases : Making Feminist Sense of International Politics</t>
  </si>
  <si>
    <t>Business Model Generation : A Handbook for Visionaries, Game Changers, and Challengers</t>
  </si>
  <si>
    <t>Education and Disadvantaged Children and Young People</t>
  </si>
  <si>
    <t>Pickett's Charge--The Last Attack at Gettysburg : The Last Attack at Gettysburg</t>
  </si>
  <si>
    <t>The Everyday Language of White Racism</t>
  </si>
  <si>
    <t>Boys and Girls Learn Differently! a Guide for Teachers and Parents : A Guide for Teachers and Parents</t>
  </si>
  <si>
    <t>Female Acts in Greek Tragedy : Female Acts in Greek Tragedy</t>
  </si>
  <si>
    <t>The Great Divergence : China, Europe, and the Making of the Modern World Economy</t>
  </si>
  <si>
    <t>Marathon Running</t>
  </si>
  <si>
    <t>Vegan on the Cheap : Great Recipes and Simple Strategies That Save You Time and Money</t>
  </si>
  <si>
    <t>African Dress : Fashion, Agency, Performance</t>
  </si>
  <si>
    <t>Fashioning Africa : Power and the Politics of Dress</t>
  </si>
  <si>
    <t>Sigmund Freud</t>
  </si>
  <si>
    <t>The Wealth of Nations : The Economics Classic - a Selected Edition for the Contemporary Reader</t>
  </si>
  <si>
    <t>Architectural Graphics</t>
  </si>
  <si>
    <t>Reproducing Race : An Ethnography of Pregnancy As a Site of Racialization</t>
  </si>
  <si>
    <t>Literary Cultures in History : Reconstructions from South Asia</t>
  </si>
  <si>
    <t>Key Concepts in Operations Management</t>
  </si>
  <si>
    <t>Mass Motorization and Mass Transit : An American History and Policy Analysis</t>
  </si>
  <si>
    <t>Locked in Place : State-Building And</t>
  </si>
  <si>
    <t>The Halloween Encyclopedia</t>
  </si>
  <si>
    <t>Interlanguage : Forty years later</t>
  </si>
  <si>
    <t>The Philosophy of Food</t>
  </si>
  <si>
    <t>Organizational Skills Training for Children with ADHD : An Empirically Supported Treatment</t>
  </si>
  <si>
    <t>ACT Math for Dummies</t>
  </si>
  <si>
    <t>Trust in Organizations : Frontiers of Theory and Research</t>
  </si>
  <si>
    <t>Self-Taught : African American Education in Slavery and Freedom</t>
  </si>
  <si>
    <t>Astrology for Dummies</t>
  </si>
  <si>
    <t>Uninsured in America : Life and Death in the Land of Opportunity</t>
  </si>
  <si>
    <t>The Golden Age Shtetl : A New History of Jewish Life in East Europe</t>
  </si>
  <si>
    <t>Driven by Data : A Practical Guide to Improve Instruction</t>
  </si>
  <si>
    <t>Selecting the Right Analyses for Your Data : Quantitative, Qualitative, and Mixed Methods</t>
  </si>
  <si>
    <t>Dying Words : Endangered Languages and What They Have to Tell Us</t>
  </si>
  <si>
    <t>Understanding Family Violence : Treating and Preventing Partner, Child, Sibling and Elder Abuse</t>
  </si>
  <si>
    <t>Teaching To Avoid Plagiarism : How To Promote Good Source Use</t>
  </si>
  <si>
    <t>The Bankers' New Clothes : What's Wrong with Banking and What to Do about It</t>
  </si>
  <si>
    <t>Century of Eugenics in America : From the Indiana Experiment to the Human Genome Era</t>
  </si>
  <si>
    <t>Deleuze and the Postcolonial</t>
  </si>
  <si>
    <t>Solon the Thinker : Political Thought in Archaic Athens</t>
  </si>
  <si>
    <t>The Devil Behind the Mirror : Globalization and Politics in the Dominican Republic</t>
  </si>
  <si>
    <t>Social Justice, Multicultural Counseling, and Practice : Beyond a Conventional Approach</t>
  </si>
  <si>
    <t>Abortion and the Politics of Motherhood</t>
  </si>
  <si>
    <t>9/11 Novel : Trauma, Politics and Identity</t>
  </si>
  <si>
    <t>The Radical Middle Class : Populist Democracy and the Question of Capitalism in Progressive Era Portland, Oregon</t>
  </si>
  <si>
    <t>Finding Your True North : A Personal Guide</t>
  </si>
  <si>
    <t>The Veil : Women Writers on Its History, Lore, and Politics</t>
  </si>
  <si>
    <t>Sport and Exercise Nutrition</t>
  </si>
  <si>
    <t>American Babylon : Race and the Struggle for Postwar Oakland</t>
  </si>
  <si>
    <t>Handbook of Peer Interactions, Relationships, and Groups</t>
  </si>
  <si>
    <t>On Beauty and Being Just</t>
  </si>
  <si>
    <t>Advertising to Children : Concepts and Controversies</t>
  </si>
  <si>
    <t>Post-9/11 Horror in American Cinema</t>
  </si>
  <si>
    <t>The Translation Zone : A New Comparative Literature</t>
  </si>
  <si>
    <t>Sarah Ruhl : A Critical Study of the Plays</t>
  </si>
  <si>
    <t>Scale Construction and Psychometrics for Social and Personality Psychology</t>
  </si>
  <si>
    <t>Rising above Bullying : From Despair to Recovery</t>
  </si>
  <si>
    <t>Method Meets Art : Arts-Based Research Practice</t>
  </si>
  <si>
    <t>Love in the Time of AIDS : Inequality, Gender, and Rights in South Africa</t>
  </si>
  <si>
    <t>A History of Interest Rates</t>
  </si>
  <si>
    <t>Serial Killers - Philosophy for Everyone : Being and Killing</t>
  </si>
  <si>
    <t>Respect for Acting</t>
  </si>
  <si>
    <t>Counselling for Depression</t>
  </si>
  <si>
    <t>Moving Body (Le Corps Poetique) : Teaching Creative Theatre</t>
  </si>
  <si>
    <t>Handbook of Competence and Motivation</t>
  </si>
  <si>
    <t>Motivational Interviewing with Adolescents and Young Adults</t>
  </si>
  <si>
    <t>The CCL Handbook of Coaching : A Guide for the Leader Coach</t>
  </si>
  <si>
    <t>Food Politics : How the Food Industry Influences Nutrition and Health</t>
  </si>
  <si>
    <t>Delinquent Violent Youth : Theory and Interventions</t>
  </si>
  <si>
    <t>Social and Emotional Learning in the Classroom : Promoting Mental Health and Academic Success</t>
  </si>
  <si>
    <t>Race Music : Black Cultures from Bebop to Hip-Hop</t>
  </si>
  <si>
    <t>Exploiting Childhood : How Fast Food, Material Obsession and Porn Culture Are Creating New Forms of Child Abuse</t>
  </si>
  <si>
    <t>Shadow of War : Russia and the USSR, 1941 to the present</t>
  </si>
  <si>
    <t>The Secret Army : Chiang Kai-Shek and the Drug Warlords of the Golden Triangle</t>
  </si>
  <si>
    <t>A History of Modern Germany : 1800 to the Present</t>
  </si>
  <si>
    <t>Mythology</t>
  </si>
  <si>
    <t>Experimental Design and Statistics for Psychology : A First Course</t>
  </si>
  <si>
    <t>Handbook of Human Resource Management in Government</t>
  </si>
  <si>
    <t>The Minds of Marginalized Black Men : Making Sense of Mobility, Opportunity, and Future Life Chances</t>
  </si>
  <si>
    <t>Accounting for Dummies</t>
  </si>
  <si>
    <t>Ovid's 'Metamorphoses' : A Reader's Guide</t>
  </si>
  <si>
    <t>Virtual Reality : Representations in Contemporary Media</t>
  </si>
  <si>
    <t>Sustainable Renovation : Strategies for Commercial Building Systems and Envelope</t>
  </si>
  <si>
    <t>Jane Austen Feminism Fiction (Gen) : Second Edition</t>
  </si>
  <si>
    <t>The Dictionary of Fashion History</t>
  </si>
  <si>
    <t>A Companion to Russian History</t>
  </si>
  <si>
    <t>The Difference : How the Power of Diversity Creates Better Groups, Firms, Schools, and Societies</t>
  </si>
  <si>
    <t>The Bogleheads' Guide to Investing</t>
  </si>
  <si>
    <t>Jacques Ranciere and the Contemporary Scene : The Philosophy of Radical Equality</t>
  </si>
  <si>
    <t>Economic Foundations of Strategy</t>
  </si>
  <si>
    <t>Kant and Applied Ethics : The Uses and Limits of Kant's Practical Philosophy</t>
  </si>
  <si>
    <t>Stochastic Simulation and Applications in Finance with MATLAB Programs</t>
  </si>
  <si>
    <t>AmericanHeritage, American Voices : Colonies and Revolution</t>
  </si>
  <si>
    <t>Soup Through the Ages : A Culinary History with Period Recipes</t>
  </si>
  <si>
    <t>Science and Religion : Understanding the Issues</t>
  </si>
  <si>
    <t>Alternative Media</t>
  </si>
  <si>
    <t>Synagogue Song : An Introduction to Concepts, Theories and Customs</t>
  </si>
  <si>
    <t>Not for Profit : Why Democracy Needs the Humanities</t>
  </si>
  <si>
    <t>When Victims Become Killers : Colonialism, Nativism, and the Genocide in Rwanda</t>
  </si>
  <si>
    <t>Organizational Learning and the Learning Organization : Developments in Theory and Practice</t>
  </si>
  <si>
    <t>A Coach's Guide to Developing Exemplary Leaders : Making the Most of the Leadership Challenge and the Leadership Practices Inventory (LPI)</t>
  </si>
  <si>
    <t>Virginia Woolf and the Materiality of Theory : Sex, Animal, Life</t>
  </si>
  <si>
    <t>Screening Text : Critical Perspectives on Film Adaptation</t>
  </si>
  <si>
    <t>Understanding and Facilitating Organizational Change in the 21st Century : Recent Research and Conceptualizations</t>
  </si>
  <si>
    <t>The Dictionary of Alternatives : Utopianism and Organization</t>
  </si>
  <si>
    <t>Foundations of Special Education : An Introduction</t>
  </si>
  <si>
    <t>The Book of Job : A Biography</t>
  </si>
  <si>
    <t>Great Fashion Designers</t>
  </si>
  <si>
    <t>Academic Films for the Classroom : A History</t>
  </si>
  <si>
    <t>Essentials of Specific Learning Disability Identification</t>
  </si>
  <si>
    <t>Politics and Vision : Continuity and Innovation in Western Political Thought</t>
  </si>
  <si>
    <t>The Transformation of the World : A Global History of the Nineteenth Century</t>
  </si>
  <si>
    <t>Building Blocks for Learning Occupational Therapy Approaches : Practical Strategies for the Inclusion of Special Needs in Primary School</t>
  </si>
  <si>
    <t>An Introduction to Critical Thinking and Creativity : Think More, Think Better</t>
  </si>
  <si>
    <t>The Human Impact on the Natural Environment : Past, Present, and Future</t>
  </si>
  <si>
    <t>Women of India : Colonial and Post-Colonial Periods</t>
  </si>
  <si>
    <t>Making Heretics : Militant Protestantism and Free Grace in Massachusetts, 1636-1641</t>
  </si>
  <si>
    <t>McLuhan : A Guide for the Perplexed</t>
  </si>
  <si>
    <t>Supporting People Through Loss and Grief : An Introduction for Counsellors and Other Caring Practitioners</t>
  </si>
  <si>
    <t>Ancient Greek Civilization</t>
  </si>
  <si>
    <t>Preparing Effective Special Education Teachers</t>
  </si>
  <si>
    <t>Nonprofit Management 101 : A Complete and Practical Guide for Leaders and Professionals</t>
  </si>
  <si>
    <t>Jeff Buckley's Grace</t>
  </si>
  <si>
    <t>Reversible Destiny : Mafia, Antimafia, and the Struggle for Palermo</t>
  </si>
  <si>
    <t>Embedded Autonomy : States and Industrial Transformation</t>
  </si>
  <si>
    <t>Mergers and Acquisitions Basics : The Key Steps of Acquisitions, Divestitures, and Investments</t>
  </si>
  <si>
    <t>Brutality Garden : TropicáLia and the Emergence of a Brazilian Counterculture</t>
  </si>
  <si>
    <t>Bullying: A Complete Guide to the Support Group Method</t>
  </si>
  <si>
    <t>Just the Arguments : 100 of the Most Important Arguments in Western Philosophy</t>
  </si>
  <si>
    <t>How To Write Well : A Guide For Health And Social Care Students</t>
  </si>
  <si>
    <t>Women, Politics, and Power : A Global Perspective</t>
  </si>
  <si>
    <t>Cigarette Smoke Toxicity : Linking Individual Chemicals to Human Diseases</t>
  </si>
  <si>
    <t>Aesthetics : The Key Thinkers</t>
  </si>
  <si>
    <t>Ecofeminism</t>
  </si>
  <si>
    <t>Science Fiction: a Guide for the Perplexed</t>
  </si>
  <si>
    <t>The Media and Body Image : If Looks Could Kill</t>
  </si>
  <si>
    <t>Democratic Education</t>
  </si>
  <si>
    <t>Taking the Measure of Work : A Guide to Validated Scales for Organizational Research and Diagnosis</t>
  </si>
  <si>
    <t>Theater in a Crowded Fire : Ritual and Spirituality at Burning Man</t>
  </si>
  <si>
    <t>International Public Relations : Negotiating Culture, Identity, and Power</t>
  </si>
  <si>
    <t>Approaching the Hunger Games Trilogy : A Literary and Cultural Analysis</t>
  </si>
  <si>
    <t>World Religions in Practice : A Comparative Introduction</t>
  </si>
  <si>
    <t>Greek Tragedy</t>
  </si>
  <si>
    <t>Homosexuality in Greece and Rome : A Sourcebook of Basic Documents</t>
  </si>
  <si>
    <t>The Graves of Tarim : Genealogy and Mobility Across the Indian Ocean</t>
  </si>
  <si>
    <t>Discourse of Twitter and Social Media : How We Use Language to Create Affiliation on the Web</t>
  </si>
  <si>
    <t>Statistics II for Dummies</t>
  </si>
  <si>
    <t>Why the Wealthy Give : The Culture of Elite Philanthropy</t>
  </si>
  <si>
    <t>Bayesian Non- and Semi-Parametric Methods and Applications</t>
  </si>
  <si>
    <t>Statistics for Compensation : A Practical Guide to Compensation Analysis</t>
  </si>
  <si>
    <t>War in Social Thought : Hobbes to the Present</t>
  </si>
  <si>
    <t>Interrogating the Real</t>
  </si>
  <si>
    <t>Memes of Translation : The spread of ideas in translation theory</t>
  </si>
  <si>
    <t>Through Other Continents : American Literature Across Deep Time</t>
  </si>
  <si>
    <t>Assessing Intelligence in Children and Adolescents : A Practical Guide</t>
  </si>
  <si>
    <t>Rome and Environs : An Archaeological Guide</t>
  </si>
  <si>
    <t>The Drug Legalization Debate</t>
  </si>
  <si>
    <t>Data Mining for Business Intelligence : Concepts, Techniques, and Applications in Microsoft Office Excel with XLMiner</t>
  </si>
  <si>
    <t>English Grammar for Dummies</t>
  </si>
  <si>
    <t>Indo-European Language and Culture : An Introduction</t>
  </si>
  <si>
    <t>Comprehension Instruction : Research-Based Best Practices</t>
  </si>
  <si>
    <t>The Social Construction of Anorexia Nervosa</t>
  </si>
  <si>
    <t>Mothering Through Domestic Violence</t>
  </si>
  <si>
    <t>Stuff Theory : Everyday Objects, Radical Materialism</t>
  </si>
  <si>
    <t>Such Stuff As Dreams : The Psychology of Fiction</t>
  </si>
  <si>
    <t>The Origins of the Urban Crisis : Race and Inequality in Postwar Detroit</t>
  </si>
  <si>
    <t>Essentials of WIAT-III and KTEA-II Assessment</t>
  </si>
  <si>
    <t>The One vs. the Many : Minor Characters and the Space of the Protagonist in the Novel</t>
  </si>
  <si>
    <t>Poverty Is NOT a Learning Disability : Equalizing Opportunities for Low SES Students</t>
  </si>
  <si>
    <t>Ties That Bind : The Story of an Afro-Cherokee Family in Slavery and Freedom</t>
  </si>
  <si>
    <t>Boys' Love Manga : Essays on the Sexual Ambiguity and Cross-cultural Fandom of the Genre</t>
  </si>
  <si>
    <t>Motivating the "What's in it for Me?" Workforce : Manage Across the Generational Divide and Increase Profits</t>
  </si>
  <si>
    <t>Language Description Informed by Theory</t>
  </si>
  <si>
    <t>Storming the Gates of Paradise : Landscapes for Politics</t>
  </si>
  <si>
    <t>Curriculum-Based Assessment for Instructional Design : Using Data to Individualize Instruction</t>
  </si>
  <si>
    <t>Music Technology in Therapeutic and Health Settings</t>
  </si>
  <si>
    <t>Reimagining Greek Tragedy on the American Stage</t>
  </si>
  <si>
    <t>A Guide to Faculty Development : Practical Advice, Examples, and Resources</t>
  </si>
  <si>
    <t>Margaret Newman : Health as Expanding Consciousness</t>
  </si>
  <si>
    <t>Post-Fordism : A Reader</t>
  </si>
  <si>
    <t>Smart Technology for Aging, Disability, and Independence : The State of the Science</t>
  </si>
  <si>
    <t>Hegel on Self-Consciousness : Desire and Death in the Phenomenology of Spirit</t>
  </si>
  <si>
    <t>Critical Communication Pedagogy</t>
  </si>
  <si>
    <t>The Poetics of Rock : Cutting Tracks, Making Records</t>
  </si>
  <si>
    <t>The Seven Hills of Rome : A Geological Tour of the Eternal City</t>
  </si>
  <si>
    <t>Reclaiming the Feminist Vision : Consciousness-Raising and Small Group Practice</t>
  </si>
  <si>
    <t>Health Benefits of Organic Food : Effects of the Environment</t>
  </si>
  <si>
    <t>Transformative Learning in Practice : Insights from Community, Workplace, and Higher Education</t>
  </si>
  <si>
    <t>The Leader's Guide to Standards : A Blueprint for Educational Equity and Excellence</t>
  </si>
  <si>
    <t>Screening the Mafia : Masculinity, Ethnicity and Mobsters from the Godfather to the Sopranos</t>
  </si>
  <si>
    <t>Content Matters : A Disciplinary Literacy Approach to Improving Student Learning</t>
  </si>
  <si>
    <t>Essentials of MMPI-2 Assessment</t>
  </si>
  <si>
    <t>Communicating with Children and Adolescents : Action for Change</t>
  </si>
  <si>
    <t>Leading Psychoeducational Groups for Children and Adolescents</t>
  </si>
  <si>
    <t>Colonising Egypt : With a New Preface</t>
  </si>
  <si>
    <t>Social Bioarchaeology</t>
  </si>
  <si>
    <t>Job Satisfaction : Application, Assessment, Causes, and Consequences</t>
  </si>
  <si>
    <t>E-Learning by Design</t>
  </si>
  <si>
    <t>Universal Design for Learning in the Classroom : Practical Applications</t>
  </si>
  <si>
    <t>Spectralities Reader : Ghosts and Haunting in Contemporary Cultural Theory</t>
  </si>
  <si>
    <t>The Graphic Syllabus and the Outcomes Map : Communicating Your Course</t>
  </si>
  <si>
    <t>Key Concepts for the Fashion Industry</t>
  </si>
  <si>
    <t>Four Archetypes : (From Vol. 9, Part 1 of the Collected Works of C. G. Jung)</t>
  </si>
  <si>
    <t>Neuropsychology of Memory</t>
  </si>
  <si>
    <t>The Hollywood Romantic Comedy : Conventions, History, Controversies</t>
  </si>
  <si>
    <t>E-learning Theory and Practice</t>
  </si>
  <si>
    <t>Theoretical Syntax 1980–1990 : An annotated and classified bibliography</t>
  </si>
  <si>
    <t>Aboutness</t>
  </si>
  <si>
    <t>Microaggressions and Marginality : Manifestation, Dynamics, and Impact</t>
  </si>
  <si>
    <t>The Amphetamine Debate : the Use of Adderall, Ritalin and Related Drugs for Behavior Modification, Neuroenhancement and Anti-Aging Purposes</t>
  </si>
  <si>
    <t>Approaches to Learning : A Guide for Teachers</t>
  </si>
  <si>
    <t>Philology : The Forgotten Origins of the Modern Humanities</t>
  </si>
  <si>
    <t>Understanding Music : Philosophy and Interpretation</t>
  </si>
  <si>
    <t>Unwrapping Ancient Egypt</t>
  </si>
  <si>
    <t>Under the Bed, Creeping : Psychoanalyzing the Gothic in Children's Literature</t>
  </si>
  <si>
    <t>A Companion to Phenomenology and Existentialism</t>
  </si>
  <si>
    <t>Practice of Psychotherapy : Practice of Psychotherapy</t>
  </si>
  <si>
    <t>Adolescent Health : Understanding and Preventing Risk Behaviors</t>
  </si>
  <si>
    <t>Roomscape : Women Writers in the British Museum from George Eliot to Virginia Woolf</t>
  </si>
  <si>
    <t>The Confidence Trap : A History of Democracy in Crisis from World War I to the Present</t>
  </si>
  <si>
    <t>Web-Based Training : Creating e-Learning Experiences</t>
  </si>
  <si>
    <t>The Depression Comes to the South Side : Protest and Politics in the Black Metropolis, 1930-1933</t>
  </si>
  <si>
    <t>Carl Rogers' Helping System : Journey &amp; Substance</t>
  </si>
  <si>
    <t>Music Theory for Dummies</t>
  </si>
  <si>
    <t>The Blackwell Guide to Hegel's Phenomenology of Spirit</t>
  </si>
  <si>
    <t>Logic for Dummies</t>
  </si>
  <si>
    <t>Introduction to Attic Greek</t>
  </si>
  <si>
    <t>Higher Education in the Digital Age</t>
  </si>
  <si>
    <t>Individualized Supports for Students with Problem Behaviors : Designing Positive Behavior Plans</t>
  </si>
  <si>
    <t>Passions and the Interests : Political Arguments for Capitalism before Its Triumph (Twentieth Anniversary Edition)</t>
  </si>
  <si>
    <t>Geography : History and Concepts</t>
  </si>
  <si>
    <t>Food Safety : Contaminants and Toxins</t>
  </si>
  <si>
    <t>Architecture : Form, Space, and Order</t>
  </si>
  <si>
    <t>The House on Diamond Hill : A Cherokee Plantation Story</t>
  </si>
  <si>
    <t>Race : Race</t>
  </si>
  <si>
    <t>The 1972 Munich Olympics and the Making of Modern Germany</t>
  </si>
  <si>
    <t>Terrorism : The Present Threat in Context</t>
  </si>
  <si>
    <t>Positive Psychology In A Nutshell : The Science Of Happiness</t>
  </si>
  <si>
    <t>Psycho in the Shower : The History of Cinema's Most Famous Scene</t>
  </si>
  <si>
    <t>Bodily Natures : Science, Environment, and the Material Self</t>
  </si>
  <si>
    <t>The Bullies : Understanding Bullies and Bullying</t>
  </si>
  <si>
    <t>CliffsNotes On Ibsen's A Doll's House and Hedda Gabler</t>
  </si>
  <si>
    <t>Nonverbal Communication : Science and Applications</t>
  </si>
  <si>
    <t>Essays on the Great Depression</t>
  </si>
  <si>
    <t>Understanding Autism In The Early Years</t>
  </si>
  <si>
    <t>Syntactic Analysis : The Basics</t>
  </si>
  <si>
    <t>The Google Resume : How to Prepare for a Career and Land a Job at Apple, Microsoft, Google, or any Top Tech Company</t>
  </si>
  <si>
    <t>The Victorian Novel</t>
  </si>
  <si>
    <t>The Passions and the Interests : Political Arguments for Capitalism Before Its Triumph</t>
  </si>
  <si>
    <t>Handbook of Self-Regulation : Research, Theory, and Applications</t>
  </si>
  <si>
    <t>Altruism</t>
  </si>
  <si>
    <t>CliffsNotes Anatomy and Physiology Quick Review</t>
  </si>
  <si>
    <t>Inside the Mind of BTK : The True Story Behind the Thirty-Year Hunt for the Notorious Wichita Serial Killer</t>
  </si>
  <si>
    <t>Debtor Nation : The History of America in Red Ink</t>
  </si>
  <si>
    <t>Capital Budgeting Valuation : Financial Analysis for Today's Investment Projects</t>
  </si>
  <si>
    <t>Music Education in the Middle Ages and the Renaissance : Music Education in the Middle Ages and the Renaissance</t>
  </si>
  <si>
    <t>Loss : The Politics of Mourning</t>
  </si>
  <si>
    <t>The Myth of Digital Democracy</t>
  </si>
  <si>
    <t>Media and Youth : A Developmental Perspective</t>
  </si>
  <si>
    <t>Cuisine and Culture : A History of Food and People</t>
  </si>
  <si>
    <t>Romeo and Juliet : Third Series</t>
  </si>
  <si>
    <t>Smoking : Risk, Perception, and Policy</t>
  </si>
  <si>
    <t>How to Win an Election : An Ancient Guide for Modern Politician</t>
  </si>
  <si>
    <t>Black against Empire : The History and Politics of the Black Panther Party</t>
  </si>
  <si>
    <t>The Israel-Palestine Conflict : Contested Histories</t>
  </si>
  <si>
    <t>Understanding Crisis Therapies : An Integrative Approach to Crisis Intervention and Post Traumatic Stress</t>
  </si>
  <si>
    <t>Fast-Forward Family : Home, Work, and Relationships in Middle-Class America</t>
  </si>
  <si>
    <t>Succeeding with your Literature Review : A Handbook for Students</t>
  </si>
  <si>
    <t>Human Resource Management</t>
  </si>
  <si>
    <t>What is Feminism? : An Introduction to Feminist Theory</t>
  </si>
  <si>
    <t>ABC of Obesity</t>
  </si>
  <si>
    <t>Earth Sound Earth Signal : Energies and Earth Magnitude in the Arts</t>
  </si>
  <si>
    <t>Child and Adolescent Mental Health</t>
  </si>
  <si>
    <t>Meeting the Innovation Challenge : Leadership for Transformation and Growth</t>
  </si>
  <si>
    <t>Well-Read Lives : How Books Inspired a Generation of American Women</t>
  </si>
  <si>
    <t>The Book of Genesis : A Biography</t>
  </si>
  <si>
    <t>Spanish for Dummies®</t>
  </si>
  <si>
    <t>Nursing in Care Homes</t>
  </si>
  <si>
    <t>The Handbook of Life-Span Development, Volume 1 : Cognition, Biology, and Methods</t>
  </si>
  <si>
    <t>Organizational Rhetoric : Situations and Strategies</t>
  </si>
  <si>
    <t>Reflective Interviewing : A Guide to Theory and Practice</t>
  </si>
  <si>
    <t>Active Listening : Improve Your Ability to Listen and Lead</t>
  </si>
  <si>
    <t>The Art of the Gut : Manhood, Power, and Ethics in Japanese Politics</t>
  </si>
  <si>
    <t>Sexuality and Gender in the Classical World : Readings and Sources</t>
  </si>
  <si>
    <t>How Forests Think : Toward an Anthropology Beyond the Human</t>
  </si>
  <si>
    <t>Music and Globalization : Critical Encounters</t>
  </si>
  <si>
    <t>Webster's New World Essential Vocabulary</t>
  </si>
  <si>
    <t>Building Wealth in the Stock Market : A Proven Investment Plan for Finding the Best Stocks and Managing Risk</t>
  </si>
  <si>
    <t>Positive Psychology : Theory, Research And Applications</t>
  </si>
  <si>
    <t>The Railway Journey : The Industrialization of Time and Space in the Nineteenth Century</t>
  </si>
  <si>
    <t>The Danger of Music and Other Anti-Utopian Essays</t>
  </si>
  <si>
    <t>Webster's New World Robert's Rules of Order Simplified and Applied : Simplified and Applied (2nd Edition)</t>
  </si>
  <si>
    <t>The Country of Football : Soccer and the Making of Modern Brazil</t>
  </si>
  <si>
    <t>Communication in Humans and Other Animals</t>
  </si>
  <si>
    <t>Excel 2010 For Dummies</t>
  </si>
  <si>
    <t>Mixed Methods Research : Merging Theory with Practice</t>
  </si>
  <si>
    <t>Contemporary Leadership and Intercultural Competence : Exploring the Cross-Cultural Dynamics Within Organizations</t>
  </si>
  <si>
    <t>Hezbollah : A Short History</t>
  </si>
  <si>
    <t>Finding Mrs. Warnecke : The Difference Teachers Make</t>
  </si>
  <si>
    <t>Teacher Action Research : Building Knowledge Democracies</t>
  </si>
  <si>
    <t>Creative Learning : Activities and Games That Really Engage People</t>
  </si>
  <si>
    <t>The European Struggle to Settle North America : Colonizing Attempts by England, France and Spain, 1521-1608</t>
  </si>
  <si>
    <t>Psycho, the Birds and Halloween : The Intimacy of Terror in Three Classic Films</t>
  </si>
  <si>
    <t>Music Therapy</t>
  </si>
  <si>
    <t>Living the College Life : Real Students, Real Experiences, Real Advice</t>
  </si>
  <si>
    <t>Doing Narrative Research</t>
  </si>
  <si>
    <t>Privilege : The Making of an Adolescent Elite at St. Paul's School</t>
  </si>
  <si>
    <t>Thinking about Leadership</t>
  </si>
  <si>
    <t>Revolutionary Ideas : An Intellectual History of the French Revolution from the Rights of Man to Robespierre</t>
  </si>
  <si>
    <t>Homelessness Comes to School</t>
  </si>
  <si>
    <t>Our Bodies Belong to God : Organ Transplants, Islam, and the Struggle for Human Dignity in Egypt</t>
  </si>
  <si>
    <t>Communicable Disease Control Handbook</t>
  </si>
  <si>
    <t>Symbolism : A Comprehensive Dictionary</t>
  </si>
  <si>
    <t>The Intersection of Race, Class, and Gender in Multicultural Counseling</t>
  </si>
  <si>
    <t>The Mindful Path to Self-Compassion : Freeing Yourself from Destructive Thoughts and Emotions</t>
  </si>
  <si>
    <t>Tokyo Vernacular : Common Spaces, Local Histories, Found Objects</t>
  </si>
  <si>
    <t>Ancient Rhetoric and Oratory</t>
  </si>
  <si>
    <t>Music and Altered States : Consciousness, Transcendence, Therapy and Addictions</t>
  </si>
  <si>
    <t>Substance Abuse Treatment and the Stages of Change, Second Edition : Selecting and Planning Interventions</t>
  </si>
  <si>
    <t>ROI for Nonprofits : The New Key to Sustainability</t>
  </si>
  <si>
    <t>The Ancient Egyptians for Dummies</t>
  </si>
  <si>
    <t>The Courage to Teach : Exploring the Inner Landscape of a Teacher's Life</t>
  </si>
  <si>
    <t>Islamic Finance in the Global Economy</t>
  </si>
  <si>
    <t>Best Practices in Writing Instruction</t>
  </si>
  <si>
    <t>The Invention of Enterprise : Entrepreneurship from Ancient Mesopotamia to Modern Times</t>
  </si>
  <si>
    <t>Writing a Dissertation for Dummies</t>
  </si>
  <si>
    <t>Derrida and the Future of the Liberal Arts : Professions of Faith</t>
  </si>
  <si>
    <t>Project Management JumpStart</t>
  </si>
  <si>
    <t>Homer the Theologian : Neoplatonist Allegorical Reading and the Growth of the Epic Tradition</t>
  </si>
  <si>
    <t>A History of Ancient Egypt</t>
  </si>
  <si>
    <t>The Political Landscape : Constellations of Authority in Early Complex Polities</t>
  </si>
  <si>
    <t>Early Childhood Music Therapy and Autism Spectrum Disorders : Developing Potential in Young Children and Their Families</t>
  </si>
  <si>
    <t>Key Concepts in Urban Geography</t>
  </si>
  <si>
    <t>History of Eastern Europe 1740-1918 : Empires, Nations and Modernisation</t>
  </si>
  <si>
    <t>Gymnastics of the Mind : Greek Education in Hellenistic and Roman Egypt</t>
  </si>
  <si>
    <t>Chocolate : History, Culture, and Heritage</t>
  </si>
  <si>
    <t>Batman Unmasked : Analyzing a Cultural Icon</t>
  </si>
  <si>
    <t>Out of Our Minds : Learning to Be Creative</t>
  </si>
  <si>
    <t>Historical Linguistics : An Introduction</t>
  </si>
  <si>
    <t>Knitting Patterns for Dummies</t>
  </si>
  <si>
    <t>A User's Manual to the PMBOK Guide</t>
  </si>
  <si>
    <t>Dancing for Hathor : Women in Ancient Egypt</t>
  </si>
  <si>
    <t>Ethnography Essentials : Designing, Conducting, and Presenting Your Research</t>
  </si>
  <si>
    <t>Castes of Mind : Colonialism and the Making of Modern India</t>
  </si>
  <si>
    <t>New Impressions of Africa</t>
  </si>
  <si>
    <t>Free Trade Under Fire : Third Edition</t>
  </si>
  <si>
    <t>Thomas Aquinas's Summa Theologiae : A Biography</t>
  </si>
  <si>
    <t>A Hegel Dictionary : Hegel Dictionary</t>
  </si>
  <si>
    <t>Global Assemblages : Technology, Politics, and Ethics As Anthropological Problems</t>
  </si>
  <si>
    <t>Out of the Darkness : Contemporary Perspectives on Family Violence</t>
  </si>
  <si>
    <t>Responding to Cyber Bullying : An Action Tool for School Leaders</t>
  </si>
  <si>
    <t>Teaching Literacy to Students With Significant Disabilities : Strategies for the K-12 Inclusive Classroom</t>
  </si>
  <si>
    <t>Methods in Educational Research : From Theory to Practice</t>
  </si>
  <si>
    <t>Reading Assessment, Third Edition : A Primer for Teachers in the Common Core Era</t>
  </si>
  <si>
    <t>The Common Core Coaching Book : Strategies to Help Teachers Address the K-5 ELA Standards</t>
  </si>
  <si>
    <t>Best Practices in Adolescent Literacy Instruction, Second Edition</t>
  </si>
  <si>
    <t>Leading Professional Learning Teams : A Start-Up Guide for Improving Instruction</t>
  </si>
  <si>
    <t>The School Leader's Toolkit : Practical Strategies for Leading and Managing</t>
  </si>
  <si>
    <t>Dropout Prevention</t>
  </si>
  <si>
    <t>Hannah Arendt and the Negro Question</t>
  </si>
  <si>
    <t>Project Management : A Systems Approach to Planning, Scheduling, and Controlling</t>
  </si>
  <si>
    <t>The Essentials of Biostatistics for Physicians, Nurses, and Clinicians</t>
  </si>
  <si>
    <t>Starting with Hegel</t>
  </si>
  <si>
    <t>Wrestling with Success : Developing a Championship Mentality</t>
  </si>
  <si>
    <t>Challenging the Stigma of Mental Illness : Lessons for Therapists and Advocates</t>
  </si>
  <si>
    <t>Affluence and Influence : Economic Inequality and Political Power in America</t>
  </si>
  <si>
    <t>Communication Ethics Literacy : Dialogue and Difference</t>
  </si>
  <si>
    <t>A Companion to Latin American Literature and Culture</t>
  </si>
  <si>
    <t>Psychology of Attitudes and Attitude Change</t>
  </si>
  <si>
    <t>The Straight State : Sexuality and Citizenship in Twentieth-Century America</t>
  </si>
  <si>
    <t>Developing Questions for Focus Groups</t>
  </si>
  <si>
    <t>Noun Valency</t>
  </si>
  <si>
    <t>A Creative Approach to Teaching Grammar</t>
  </si>
  <si>
    <t>The Handbook of Community Practice</t>
  </si>
  <si>
    <t>Small-Town America : Finding Community, Shaping the Future</t>
  </si>
  <si>
    <t>Applied Integer Programming : Modeling and Solution</t>
  </si>
  <si>
    <t>An Introduction to Childhood : Anthropological Perspectives on Children's Lives</t>
  </si>
  <si>
    <t>Ancient Egyptian Tombs : The Culture of Life and Death</t>
  </si>
  <si>
    <t>Designing for Print</t>
  </si>
  <si>
    <t>The Psycho File : A Comprehensive Guide to Hitchcock's Classic Shocker</t>
  </si>
  <si>
    <t>Balance Your Life and Work : How to Get the Best from Your Job and Still Have a Life</t>
  </si>
  <si>
    <t>Jane Austen, Game Theorist</t>
  </si>
  <si>
    <t>The Aesthetic Turn in Political Thought</t>
  </si>
  <si>
    <t>Ancient Greek Democracy : Readings and Sources</t>
  </si>
  <si>
    <t>Ancient Greek Religion</t>
  </si>
  <si>
    <t>Electric Power Planning for Regulated and Deregulated Markets</t>
  </si>
  <si>
    <t>The Golden Legend : Readings on the Saints</t>
  </si>
  <si>
    <t>The History of Islamic Political Thought : From the Prophet to the Present</t>
  </si>
  <si>
    <t>Global Issues : An Introduction</t>
  </si>
  <si>
    <t>Handbook of Adolescent Psychology</t>
  </si>
  <si>
    <t>The Official Guide for GMAT Review</t>
  </si>
  <si>
    <t>Professional Workflow in SharePoint 2010 : Real World Business Workflow Solutions</t>
  </si>
  <si>
    <t>Bipolar Expeditions : Mania and Depression in American Culture</t>
  </si>
  <si>
    <t>Hermione Granger Saves the World : Essays on the Feminist Heroine of Hogwarts</t>
  </si>
  <si>
    <t>Diversity in U. S. Mass Media</t>
  </si>
  <si>
    <t>Gilbert Simondon : Being and Technology</t>
  </si>
  <si>
    <t>The Nonprofit Board Answer Book : A Practical Guide for Board Members and Chief Executives</t>
  </si>
  <si>
    <t>Why Tolerate Religion?</t>
  </si>
  <si>
    <t>Indiana Masterpiece Editions : Dante's Inferno, the Indiana Critical Edition</t>
  </si>
  <si>
    <t>Shamanism and Spirituality in Therapeutic Practice : Soul and Spirit Matter</t>
  </si>
  <si>
    <t>All Systems Go : The Change Imperative for Whole System Reform</t>
  </si>
  <si>
    <t>Food for Fitness : How to Eat for Maximum Performance</t>
  </si>
  <si>
    <t>Health Promotion Programs : From Theory to Practice</t>
  </si>
  <si>
    <t>History of the Oratorio : Vol. 1: The Oratorio in the Baroque Era: Italy, Vienna, Paris</t>
  </si>
  <si>
    <t>Archaeologies of Memory</t>
  </si>
  <si>
    <t>Key Concepts in Human Resource Management</t>
  </si>
  <si>
    <t>Othello : Character Studies</t>
  </si>
  <si>
    <t>Restless Dead : Encounters Between the Living and the Dead in Ancient Greece</t>
  </si>
  <si>
    <t>The Spirit in Man, Art and Literature : Spirit in Man, Art, And Literature</t>
  </si>
  <si>
    <t>Poverty Knowledge : Social Science, Social Policy, and the Poor in Twentieth-Century U. S. History</t>
  </si>
  <si>
    <t>The Leadership Challenge : Activities Book</t>
  </si>
  <si>
    <t>The Handbook of Pragmatics</t>
  </si>
  <si>
    <t>Handbook of Research Methods in Personality Psychology</t>
  </si>
  <si>
    <t>Alchemical Studies : Alchemical Studies</t>
  </si>
  <si>
    <t>Mental Illness in Popular Media : Essays on the Representation of Disorders</t>
  </si>
  <si>
    <t>Academic Instruction for Students With Moderate and Severe Intellectual Disabilities in Inclusive Classrooms</t>
  </si>
  <si>
    <t>Longitudinal Structural Equation Modeling</t>
  </si>
  <si>
    <t>Word Sorts and More : Sound, Pattern, and Meaning Explorations K-3</t>
  </si>
  <si>
    <t>American Educational History : School, Society, and the Common Good</t>
  </si>
  <si>
    <t>The Adventures of Huckleberry Finn</t>
  </si>
  <si>
    <t>Marketing Your Library : Tips and Tools That Work</t>
  </si>
  <si>
    <t>In One's Own Shadow : An Ethnographic Account of the Condition of Post-Reform Rural China</t>
  </si>
  <si>
    <t>Facilitating Resilience and Recovery Following Trauma</t>
  </si>
  <si>
    <t>The Executive Director's Guide to Thriving As a Nonprofit Leader</t>
  </si>
  <si>
    <t>Interviewing Clients Across Cultures : A Practitioner's Guide</t>
  </si>
  <si>
    <t>Handbook for Social Justice in Counseling Psychology : Leadership, Vision, and Action</t>
  </si>
  <si>
    <t>How to Cook Everything : 2,000 Simple Recipes for Great Food</t>
  </si>
  <si>
    <t>Strategic Marketing for Health Care Organizations : Building a Customer-Driven Health System</t>
  </si>
  <si>
    <t>Strategic Planning for Nonprofit Organizations : A Practical Guide and Workbook</t>
  </si>
  <si>
    <t>Organizational Culture : Mapping the Terrain</t>
  </si>
  <si>
    <t>Making War at Fort Hood : Life and Uncertainty in a Military Community</t>
  </si>
  <si>
    <t>Psychological Types : Psychological Types</t>
  </si>
  <si>
    <t>Symbols of Transformation : Symbols of Transformation</t>
  </si>
  <si>
    <t>Making Connections in Elementary and Middle School Social Studies</t>
  </si>
  <si>
    <t>Children As Victims, Witnesses, and Offenders : Psychological Science and the Law</t>
  </si>
  <si>
    <t>My Avatar, My Self : Identity in Video Role-Playing Games</t>
  </si>
  <si>
    <t>The Saga of the Volsungs : The Norse Epic of Sigurd the Dragon Slayer</t>
  </si>
  <si>
    <t>Applied Missing Data Analysis</t>
  </si>
  <si>
    <t>Cyber Bullying : Bullying in the Digital Age</t>
  </si>
  <si>
    <t>Hamlet : Hamlet</t>
  </si>
  <si>
    <t>Not-For-Profit Accounting Made Easy</t>
  </si>
  <si>
    <t>Rethinking Children's Play</t>
  </si>
  <si>
    <t>The Right to the City : Social Justice and the Fight for Public Space</t>
  </si>
  <si>
    <t>Leadership in a Diverse and Multicultural Environment : Developing Awareness, Knowledge, and Skills</t>
  </si>
  <si>
    <t>Broken Men : Shell Shock, Treatment and Recovery in Britain, 1914-1930</t>
  </si>
  <si>
    <t>Pulp Surrealism : Insolent Popular Culture in Early Twentieth-Century Paris</t>
  </si>
  <si>
    <t>A History of Food</t>
  </si>
  <si>
    <t>The Family in the Greco-Roman World</t>
  </si>
  <si>
    <t>Pathologies of Power : Health, Human Rights, and the New War on the Poor</t>
  </si>
  <si>
    <t>Education Nation : Six Leading Edges of Innovation in Our Schools</t>
  </si>
  <si>
    <t>Assimilating Seoul : Japanese Rule and the Politics of Public Space in Colonial Korea, 1910-1945</t>
  </si>
  <si>
    <t>Ancient Egyptian Literature : The Old and Middle Kingdoms</t>
  </si>
  <si>
    <t>Voyager</t>
  </si>
  <si>
    <t>Fishing for Dummies</t>
  </si>
  <si>
    <t>Archetypes and the Collective Unconscious : Archetypes and the Collective Unconscious</t>
  </si>
  <si>
    <t>Phonetics : Transcription, Production, Acoustics, and Perception</t>
  </si>
  <si>
    <t>Politics in Time : History, Institutions, and Social Analysis</t>
  </si>
  <si>
    <t>Ask Arthur Frommer : And Travel Better, Cheaper, Smarter</t>
  </si>
  <si>
    <t>Guerrilla Mum : Surviving the Special Educational Needs Jungle</t>
  </si>
  <si>
    <t>Doing the Best I Can : Fatherhood in the Inner City</t>
  </si>
  <si>
    <t>Equity Asset Valuation</t>
  </si>
  <si>
    <t>Roosevelt's Lost Alliances : How Personal Politics Helped Start the Cold War</t>
  </si>
  <si>
    <t>The Geographic Spread of Infectious Diseases : Models and Applications</t>
  </si>
  <si>
    <t>World Out of Balance : International Relations and the Challenge of American Primacy</t>
  </si>
  <si>
    <t>Engaging Ideas : The Professor's Guide to Integrating Writing, Critical Thinking, and Active Learning in the Classroom</t>
  </si>
  <si>
    <t>Effective Strategies for Teaching in K-8 Classrooms</t>
  </si>
  <si>
    <t>Introduction to Documentary, Second Edition</t>
  </si>
  <si>
    <t>Camus</t>
  </si>
  <si>
    <t>To Repair the World : Paul Farmer Speaks to the Next Generation</t>
  </si>
  <si>
    <t>Teaching Academic Vocabulary K-8 : Effective Practices Across the Curriculum</t>
  </si>
  <si>
    <t>Handbook of Adult and Continuing Education</t>
  </si>
  <si>
    <t>Learning English As a Foreign Language for Dummies</t>
  </si>
  <si>
    <t>Qualitative Research from Start to Finish</t>
  </si>
  <si>
    <t>Active Training : A Handbook of Techniques, Designs, Case Examples, and Tips</t>
  </si>
  <si>
    <t>Retrofitting Suburbia : Urban Design Solutions for Redesigning Suburbs</t>
  </si>
  <si>
    <t>Design Drawing</t>
  </si>
  <si>
    <t>The Senses of Touch : Haptics, Affects, and Technologies</t>
  </si>
  <si>
    <t>Ethics in Art Therapy : Challenging Topics for a Complex Modality</t>
  </si>
  <si>
    <t>Disposable People : New Slavery in the Global Economy</t>
  </si>
  <si>
    <t>Child Labor in America : A History</t>
  </si>
  <si>
    <t>Conducting Child Custody Evaluations : From Basic to Complex Issues</t>
  </si>
  <si>
    <t>The Elements of Investing</t>
  </si>
  <si>
    <t>Becky Shaw</t>
  </si>
  <si>
    <t>Ancient Greece from Homer to Alexander : The Evidence</t>
  </si>
  <si>
    <t>Check Your English Vocabulary for IELTS : Essential words and phrases to help you maximise your IELTS score</t>
  </si>
  <si>
    <t>On Purpose : How Great School Cultures Form Strong Character</t>
  </si>
  <si>
    <t>ACT Cram Plan</t>
  </si>
  <si>
    <t>A Companion to Museum Studies</t>
  </si>
  <si>
    <t>Handbook of Child Sexual Abuse : Identification, Assessment, and Treatment</t>
  </si>
  <si>
    <t>Population and Development : The Demographic Transition</t>
  </si>
  <si>
    <t>Data-Driven Marketing : The 15 Metrics Everyone in Marketing Should Know</t>
  </si>
  <si>
    <t>Memory and Emotion : Interdisciplinary Perspectives</t>
  </si>
  <si>
    <t>Emerging Infectious Diseases : A Guide to Diseases, Causative Agents, and Surveillance</t>
  </si>
  <si>
    <t>Integrating Traditional Healing Practices Into Counseling and Psychotherapy</t>
  </si>
  <si>
    <t>Homegirls : Language and Cultural Practice Among Latina Youth Gangs</t>
  </si>
  <si>
    <t>Reputation and International Cooperation : Sovereign Debt Across Three Centuries</t>
  </si>
  <si>
    <t>Designing Social Inquiry : Scientific Inference in Qualitative Research</t>
  </si>
  <si>
    <t>Tribal Modern : Branding New Nations in the Arab Gulf</t>
  </si>
  <si>
    <t>Anime Art of Hayao Miyazaki</t>
  </si>
  <si>
    <t>The Beethoven Sonatas and the Creative Experience</t>
  </si>
  <si>
    <t>Stalinism : The Essential Readings</t>
  </si>
  <si>
    <t>Mini Mickey : The Pocket-Sized Unofficial Guide to  Walt Disney World</t>
  </si>
  <si>
    <t>Calling for Justice Throughout the World : Catholic Women Theologians on the HIV/AIDS Pandemic</t>
  </si>
  <si>
    <t>Science Fiction and Philosophy : From Time Travel to Superintelligence</t>
  </si>
  <si>
    <t>Rule of Experts : Egypt, Techno-Politics, Modernity</t>
  </si>
  <si>
    <t>A People Betrayed : The Role of the West in Rwanda's Genocide</t>
  </si>
  <si>
    <t>ACT</t>
  </si>
  <si>
    <t>Makers : A History of American Studio Craft</t>
  </si>
  <si>
    <t>Carl Gustav Jung</t>
  </si>
  <si>
    <t>Juvenile Crime and Justice</t>
  </si>
  <si>
    <t>Experimental Syntax : Applying Objective Methods to Sentence Judgments</t>
  </si>
  <si>
    <t>The Candlestick Course</t>
  </si>
  <si>
    <t>Piano For Dummies</t>
  </si>
  <si>
    <t>The Future of Nonprofits : Innovate and Thrive in the Digital Age</t>
  </si>
  <si>
    <t>Mythical Monsters in Classical Literature</t>
  </si>
  <si>
    <t>Best Practices of Literacy Leaders : Keys to School Improvement</t>
  </si>
  <si>
    <t>Three Kingdoms : A Historical Novel</t>
  </si>
  <si>
    <t>How to Build Social Science Theories</t>
  </si>
  <si>
    <t>Clause Structure of Wolof : Insights into the Left Periphery</t>
  </si>
  <si>
    <t>Wharton on Making Decisions</t>
  </si>
  <si>
    <t>Archaeological Theory : An Introduction</t>
  </si>
  <si>
    <t>Coping with Work Stress : A Review and Critique</t>
  </si>
  <si>
    <t>Bodyshop : The Photoshop Retouching Guide for the Face and Body</t>
  </si>
  <si>
    <t>Critical Ethnography : Method, Ethics, and Performance</t>
  </si>
  <si>
    <t>Writing : A User Manual:A practical guide to planning, starting and finishing a novel</t>
  </si>
  <si>
    <t>How Societies Change</t>
  </si>
  <si>
    <t>What School Leaders Need to Know about Digital Technologies and Social Media</t>
  </si>
  <si>
    <t>Child Abuse and Culture : Working with Diverse Families</t>
  </si>
  <si>
    <t>Desire and Pleasure in Seventeenth-Century Music</t>
  </si>
  <si>
    <t>Understanding Global Cultures : Metaphorical Journeys Through 29 Nations, Clusters of Nations, Continents, and Diversity</t>
  </si>
  <si>
    <t>Top Girls</t>
  </si>
  <si>
    <t>Colonial America : A History To 1763</t>
  </si>
  <si>
    <t>Introduction To Counselling</t>
  </si>
  <si>
    <t>Influence of Star Trek on Television, Film and Culture</t>
  </si>
  <si>
    <t>Child Development for Early Childhood Studies</t>
  </si>
  <si>
    <t>Qualitative Research : An Introduction to Methods and Designs</t>
  </si>
  <si>
    <t>Rhetoric in Detail : Discourse analyses of rhetorical talk and text</t>
  </si>
  <si>
    <t>Paleo Diet : Lose Weight and Get Healthy by Eating the Foods You Were Designed to Eat</t>
  </si>
  <si>
    <t>A Brief History of the Late Ottoman Empire</t>
  </si>
  <si>
    <t>Quantitative Investment Analysis</t>
  </si>
  <si>
    <t>Quantitative Investment Analysis Workbook : Workbook</t>
  </si>
  <si>
    <t>Biophilic Design : The Theory, Science and Practice of Bringing Buildings to Life</t>
  </si>
  <si>
    <t>Reframing Academic Leadership</t>
  </si>
  <si>
    <t>The Making of Modern Liberalism</t>
  </si>
  <si>
    <t>Paradise in Ashes : A Guatemalan Journey of Courage, Terror, and Hope</t>
  </si>
  <si>
    <t>Tonight At 8.30 : We Were Dancing; The Astonished Heart; â ËRed Peppersâ â¢; Hands Across the Sea; Fumed Oak; Shadow Play; Ways and Means; Still Life; Family Album; Star Chamber</t>
  </si>
  <si>
    <t>Market Operations in Electric Power Systems : Forecasting, Scheduling, and Risk Management</t>
  </si>
  <si>
    <t>Historiography: An Introductory Guide</t>
  </si>
  <si>
    <t>Gender in History : Global Perspectives</t>
  </si>
  <si>
    <t>Muses India : Essays on English-Language Writers from Mahomet to Rushdie</t>
  </si>
  <si>
    <t>Student Success in College : Creating Conditions That Matter</t>
  </si>
  <si>
    <t>Osiris : Death and Afterlife of a God</t>
  </si>
  <si>
    <t>Dreams : (From Volumes 4, 8, 12, and 16 of the Collected Works of C. G. Jung)</t>
  </si>
  <si>
    <t>Handbook of Research on Literacy and Diversity</t>
  </si>
  <si>
    <t>Maps of Time : An Introduction to Big History</t>
  </si>
  <si>
    <t>Valuation : Measuring and Managing the Value of Companies, University Edition</t>
  </si>
  <si>
    <t>Philosophy For Dummies</t>
  </si>
  <si>
    <t>Building Partnerships for Service-Learning</t>
  </si>
  <si>
    <t>Jazz Cultures</t>
  </si>
  <si>
    <t>Terror and Everyday Life : Singular Moments in the History of the Horror Film</t>
  </si>
  <si>
    <t>Bloomsbury Companion to Second Language Acquisition</t>
  </si>
  <si>
    <t>Action Research in Education : A Practical Guide</t>
  </si>
  <si>
    <t>The Handbook of Second Language Acquisition</t>
  </si>
  <si>
    <t>The New American Crime Film</t>
  </si>
  <si>
    <t>Healing Conversations : What to Say When You Don't Know What to Say</t>
  </si>
  <si>
    <t>Religion, Material Culture, and Archaeology</t>
  </si>
  <si>
    <t>Parenting a Child with Asperger Syndrome : 200 Tips and Strategies</t>
  </si>
  <si>
    <t>Budgets and Financial Management in Higher Education</t>
  </si>
  <si>
    <t>Type Rules! : The Designer's Guide to Professional Typography</t>
  </si>
  <si>
    <t>Cultural Criticism : A Primer of Key Concepts</t>
  </si>
  <si>
    <t>Deleuze and Guattari's 'a Thousand Plateaus' : A Reader's Guide</t>
  </si>
  <si>
    <t>A New History of Classical Rhetoric</t>
  </si>
  <si>
    <t>American Religion : Contemporary Trends</t>
  </si>
  <si>
    <t>Why Don't Students Like School? : A Cognitive Scientist Answers Questions about How the Mind Works and What It Means for the Classroom</t>
  </si>
  <si>
    <t>Safety and Health for Engineers</t>
  </si>
  <si>
    <t>The National Origins of Policy Ideas : Knowledge Regimes in the United States, France, Germany, and Denmark</t>
  </si>
  <si>
    <t>Space and Social Theory</t>
  </si>
  <si>
    <t>Liz Phair's Exile in Guyville</t>
  </si>
  <si>
    <t>Syntax : A Generative Introduction</t>
  </si>
  <si>
    <t>Suicide : Theory, Practice and Investigation</t>
  </si>
  <si>
    <t>The Dragonfly Effect : Quick, Effective, and Powerful Ways to Use Social Media to Drive Social Change</t>
  </si>
  <si>
    <t>The SAGE Handbook of African American Education</t>
  </si>
  <si>
    <t>Diagnosing and Changing Organizational Culture : Based on the Competing Values Framework</t>
  </si>
  <si>
    <t>Ethics in Psychotherapy and Counseling : A Practical Guide</t>
  </si>
  <si>
    <t>Ethnicity, Nationalism and Conflict in and after the Soviet Union : The Mind Aflame</t>
  </si>
  <si>
    <t>Understanding Research Methods and Statistics in Psychology</t>
  </si>
  <si>
    <t>Provincializing Europe : Postcolonial Thought and Historical Difference</t>
  </si>
  <si>
    <t>Five Ways of Doing Qualitative Analysis : Phenomenological Psychology, Grounded Theory, Discourse Analysis, Narrative Research, and Intuitive Inquiry</t>
  </si>
  <si>
    <t>Filmmaking for Dummies®</t>
  </si>
  <si>
    <t>ACT For Dummies</t>
  </si>
  <si>
    <t>Prioritizing Academic Programs and Services : Reallocating Resources to Achieve Strategic Balance, Revised and Updated</t>
  </si>
  <si>
    <t>Anatomy of a Fraud Investigation : From Detection to Prosecution</t>
  </si>
  <si>
    <t>The Handbook of Knowledge-Based Coaching : From Theory to Practice</t>
  </si>
  <si>
    <t>Japan since 1945 : From Postwar to Post-Bubble</t>
  </si>
  <si>
    <t>The Developing Mind : How Relationships and the Brain Interact to Shape Who We Are</t>
  </si>
  <si>
    <t>On the Postcolony</t>
  </si>
  <si>
    <t>The Art of Teaching Music</t>
  </si>
  <si>
    <t>Building Motivational Interviewing Skills : A Practitioner Workbook</t>
  </si>
  <si>
    <t>The Working Back : A Systems View</t>
  </si>
  <si>
    <t>Handbook of Multicultural Counseling Competencies</t>
  </si>
  <si>
    <t>Building Character : Strengthening the Heart of Good Leadership</t>
  </si>
  <si>
    <t>E-Learning and the Science of Instruction : Proven Guidelines for Consumers and Designers of Multimedia Learning</t>
  </si>
  <si>
    <t>Designing Qualitative Research</t>
  </si>
  <si>
    <t>Migrating to the Movies : Cinema and Black Urban Modernity</t>
  </si>
  <si>
    <t>John's Gospel and Intimations of Apocalyptic</t>
  </si>
  <si>
    <t>Academic Advising : A Comprehensive Handbook</t>
  </si>
  <si>
    <t>Insider's Guide to Graduate Programs in Clinical and Counseling Psychology : 2012/2013 Edition</t>
  </si>
  <si>
    <t>The Complete Guide to Fundraising Management</t>
  </si>
  <si>
    <t>SPSS for Dummies</t>
  </si>
  <si>
    <t>The Nonprofit Marketing Guide : High-Impact, Low-Cost Ways to Build Support for Your Good Cause</t>
  </si>
  <si>
    <t>Causes of War</t>
  </si>
  <si>
    <t>TOEFL CBT : TOEFL CBT</t>
  </si>
  <si>
    <t>Handbook of Counseling Psychology</t>
  </si>
  <si>
    <t>Child Development : A Practitioner's Guide</t>
  </si>
  <si>
    <t>Strategy Instruction for Students with Learning Disabilities, Second Edition</t>
  </si>
  <si>
    <t>Check Your English Vocabulary for TOEFL : Essential words and phrases to help you maximize your TOEFL score</t>
  </si>
  <si>
    <t>A History of Latin America To 1825</t>
  </si>
  <si>
    <t>Effective Writing in Psychology : Papers, Posters, and Presentations</t>
  </si>
  <si>
    <t>Understanding Leadership : Paradigms and Cases</t>
  </si>
  <si>
    <t>Reimagining Global Health : An Introduction</t>
  </si>
  <si>
    <t>The I Ching or Book of Changes</t>
  </si>
  <si>
    <t>The Five Rules for Successful Stock Investing : Morningstar's Guide to Building Wealth and Winning in the Market</t>
  </si>
  <si>
    <t>Dream Dictionary for Dummies</t>
  </si>
  <si>
    <t>In the Blink of an Ear : Toward a Non-cochlear Sonic Art</t>
  </si>
  <si>
    <t>Addiction by Design : Machine Gambling in Las Vegas</t>
  </si>
  <si>
    <t>Integrative Assessment of Adult Personality</t>
  </si>
  <si>
    <t>The SAGE Handbook of Performance Studies</t>
  </si>
  <si>
    <t>The Political Economy of Communication</t>
  </si>
  <si>
    <t>Mimesis : The Representation of Reality in Western Literature</t>
  </si>
  <si>
    <t>Equity Asset Valuation Workbook</t>
  </si>
  <si>
    <t>Incorporating Spirituality in Counseling and Psychotherapy : Theory and Technique</t>
  </si>
  <si>
    <t>Race in American Science Fiction</t>
  </si>
  <si>
    <t>Child and Adolescent Development : An Advanced Course</t>
  </si>
  <si>
    <t>Intelligence : A Brief History</t>
  </si>
  <si>
    <t>The Lost Art of Listening : How Learning to Listen Can Improve Relationships</t>
  </si>
  <si>
    <t>Interior Graphic Standards : Student Edition</t>
  </si>
  <si>
    <t>Excel 2010 for Dummies®</t>
  </si>
  <si>
    <t>America on Film : Representing Race, Class, Gender, and Sexuality at the Movies</t>
  </si>
  <si>
    <t>Historiography : An Introductory Guide</t>
  </si>
  <si>
    <t>Assessing Culturally and Linguistically Diverse Students : A Practical Guide</t>
  </si>
  <si>
    <t>Scotland and the Union 1707-2007</t>
  </si>
  <si>
    <t>Mexico : A Brief History</t>
  </si>
  <si>
    <t>Europe and the People Without History</t>
  </si>
  <si>
    <t>Diagnosis Made Easier, Second Edition : Principles and Techniques for Mental Health Clinicians</t>
  </si>
  <si>
    <t>Adolescent Literacy in the Academic Disciplines : General Principles and Practical Strategies</t>
  </si>
  <si>
    <t>Text Typology and Translation</t>
  </si>
  <si>
    <t>Inventing Intelligence : A Social History of Smart</t>
  </si>
  <si>
    <t>Asking Questions : The Definitive Guide to Questionnaire Design -- for Market Research, Political Polls, and Social and Health Questionnaires</t>
  </si>
  <si>
    <t>A History of Modern Africa : 1800 to the Present</t>
  </si>
  <si>
    <t>The Shaping of American Higher Education : Emergence and Growth of the Contemporary System</t>
  </si>
  <si>
    <t>Data Mining Techniques : For Marketing, Sales, and Customer Relationship Management</t>
  </si>
  <si>
    <t>New Academic Librarian : Essays on Changing Roles and Responsibilities</t>
  </si>
  <si>
    <t>Multiple Case Study Analysis</t>
  </si>
  <si>
    <t>When to Use What Research Design</t>
  </si>
  <si>
    <t>Martin R. Delany : A Documentary Reader</t>
  </si>
  <si>
    <t>Handbook of Self and Identity, Second Edition</t>
  </si>
  <si>
    <t>Dictionary of Untranslatables : A Philosophical Lexicon</t>
  </si>
  <si>
    <t>Art of Translation</t>
  </si>
  <si>
    <t>Best Practices in Literacy Instruction</t>
  </si>
  <si>
    <t>Paleo Diet Cookbook : More Than 150 Recipes for Paleo Breakfasts, Lunches, Dinners, Snacks, and Beverages</t>
  </si>
  <si>
    <t>1177 B.C.: The Year Civilization Collapsed</t>
  </si>
  <si>
    <t>Capital Budgeting : Theory and Practice</t>
  </si>
  <si>
    <t>College : What it Was, Is, and Should Be</t>
  </si>
  <si>
    <t>Assessing Student Learning : A Common Sense Guide</t>
  </si>
  <si>
    <t>Teach Like a Champion : 49 Techniques that Put Students on the Path to College (K-12)</t>
  </si>
  <si>
    <t>Starting with Kant</t>
  </si>
  <si>
    <t>Making Health Policy</t>
  </si>
  <si>
    <t>Making Literacy Real : Theories and Practices for Learning and Teaching</t>
  </si>
  <si>
    <t>SAGE Publications, Incorporated</t>
  </si>
  <si>
    <t>Student Engagement Techniques : A Handbook for College Faculty</t>
  </si>
  <si>
    <t>Tools for Teaching</t>
  </si>
  <si>
    <t>Pandemonium and Parade : Japanese Monsters and the Culture of Yokai</t>
  </si>
  <si>
    <t>Handbook of Applied Behavior Analysis</t>
  </si>
  <si>
    <t>American Wheels, Chinese Roads : The Story of General Motors in China</t>
  </si>
  <si>
    <t>Think and Grow Rich : The Original Classic</t>
  </si>
  <si>
    <t>Loving Him Without Losing You : How to Stop Disappearing and Start Being Yourself</t>
  </si>
  <si>
    <t>Bullying Prevention and Intervention : Realistic Strategies for Schools</t>
  </si>
  <si>
    <t>Globalization : Culture and Education In the New Millennium</t>
  </si>
  <si>
    <t>The Handbook of Student Affairs Administration : (Sponsored by NASPA, Student Affairs Administrators in Higher Education)</t>
  </si>
  <si>
    <t>Hollywood Blockbusters : The Anthropology of Popular Movies</t>
  </si>
  <si>
    <t>Religion in Environmental and Climate Change : Suffering, Values, Lifestyles</t>
  </si>
  <si>
    <t>The Emotionally Abused and Neglected Child : Identification, Assessment and Intervention: a Practice Handbook</t>
  </si>
  <si>
    <t>The Five Dysfunctions of a Team : A Leadership Fable</t>
  </si>
  <si>
    <t>Methods of Sustainability Research in the Social Sciences</t>
  </si>
  <si>
    <t>Poverty in America : A Handbook</t>
  </si>
  <si>
    <t>GMAT for Dummies</t>
  </si>
  <si>
    <t>Cleopatra : A Sphinx Revisited</t>
  </si>
  <si>
    <t>Wired for Good : Strategic Technology Planning for Nonprofits</t>
  </si>
  <si>
    <t>Sociology</t>
  </si>
  <si>
    <t>Grant Writing for Dummies</t>
  </si>
  <si>
    <t>Consultation Skills for Mental Health Professionals</t>
  </si>
  <si>
    <t>Evidence Based Coaching Handbook : Putting Best Practices to Work for Your Clients</t>
  </si>
  <si>
    <t>A Companion to American Immigration</t>
  </si>
  <si>
    <t>Handbook of Emotion Regulation, Second Edition</t>
  </si>
  <si>
    <t>Qualitative Research : Studying How Things Work</t>
  </si>
  <si>
    <t>Essentials of Myers-Briggs Type Indicator Assessment</t>
  </si>
  <si>
    <t>Higher Education in America</t>
  </si>
  <si>
    <t>The Education of Blacks in the South, 1860-1935</t>
  </si>
  <si>
    <t>GRE CBT</t>
  </si>
  <si>
    <t>All Dogs Have ADHD</t>
  </si>
  <si>
    <t>How Learning Works : Seven Research-Based Principles for Smart Teaching</t>
  </si>
  <si>
    <t>Handbook of Psychological Assessment</t>
  </si>
  <si>
    <t>American Religious History</t>
  </si>
  <si>
    <t>CliffsNotes GRE General Test : with CD-ROM</t>
  </si>
  <si>
    <t>Handbook of Emotions, Third Edition</t>
  </si>
  <si>
    <t>Understanding Attachment and Attachment Disorders : Theory, Evidence and Practice</t>
  </si>
  <si>
    <t>Crisis and Disaster Counseling : Lessons Learned From Hurricane Katrina and Other Disasters</t>
  </si>
  <si>
    <t>Fundamentals of Crisis Counseling</t>
  </si>
  <si>
    <t>CliffsNotes GRE General Test Cram Plan</t>
  </si>
  <si>
    <t>Korean for Dummies</t>
  </si>
  <si>
    <t>Practicing Organization Development : A Guide for Leading Change</t>
  </si>
  <si>
    <t>SPSS Survival Manual : A Step by Step Guide to Data Analysis Using SPSS</t>
  </si>
  <si>
    <t>Lenses on Reading, Second Edition : An Introduction to Theories and Models</t>
  </si>
  <si>
    <t>Purchase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</si>
</sst>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33" borderId="10" xfId="0" applyFill="1" applyBorder="1"/>
    <xf numFmtId="0" fontId="0" fillId="0" borderId="10" xfId="0" applyBorder="1"/>
    <xf numFmtId="164" fontId="0" fillId="33" borderId="10" xfId="0" applyNumberFormat="1" applyFill="1" applyBorder="1"/>
    <xf numFmtId="164" fontId="0" fillId="0" borderId="10" xfId="0" applyNumberFormat="1" applyBorder="1"/>
    <xf numFmtId="164" fontId="0" fillId="0" borderId="0" xfId="0" applyNumberFormat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3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7.85546875" style="5" customWidth="1"/>
    <col min="2" max="2" width="57.140625" customWidth="1"/>
    <col min="3" max="3" width="28.7109375" customWidth="1"/>
    <col min="4" max="4" width="17.5703125" customWidth="1"/>
  </cols>
  <sheetData>
    <row r="1" spans="1:5" s="6" customFormat="1" x14ac:dyDescent="0.25">
      <c r="A1" s="3" t="s">
        <v>4002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4">
        <v>41994.901921296296</v>
      </c>
      <c r="B2" s="2" t="s">
        <v>984</v>
      </c>
      <c r="C2" s="2" t="s">
        <v>119</v>
      </c>
      <c r="D2" s="2" t="str">
        <f>"9780520937994"</f>
        <v>9780520937994</v>
      </c>
      <c r="E2" s="2">
        <v>227322</v>
      </c>
    </row>
    <row r="3" spans="1:5" x14ac:dyDescent="0.25">
      <c r="A3" s="4">
        <v>43154.405787037038</v>
      </c>
      <c r="B3" s="2" t="s">
        <v>91</v>
      </c>
      <c r="C3" s="2" t="s">
        <v>18</v>
      </c>
      <c r="D3" s="2" t="str">
        <f>"9781472906373"</f>
        <v>9781472906373</v>
      </c>
      <c r="E3" s="2">
        <v>1609922</v>
      </c>
    </row>
    <row r="4" spans="1:5" x14ac:dyDescent="0.25">
      <c r="A4" s="4">
        <v>41974.662939814814</v>
      </c>
      <c r="B4" s="2" t="s">
        <v>2937</v>
      </c>
      <c r="C4" s="2" t="s">
        <v>1934</v>
      </c>
      <c r="D4" s="2" t="str">
        <f>"9781408103715"</f>
        <v>9781408103715</v>
      </c>
      <c r="E4" s="2">
        <v>320208</v>
      </c>
    </row>
    <row r="5" spans="1:5" x14ac:dyDescent="0.25">
      <c r="A5" s="4">
        <v>41994.896111111113</v>
      </c>
      <c r="B5" s="2" t="s">
        <v>1582</v>
      </c>
      <c r="C5" s="2" t="s">
        <v>28</v>
      </c>
      <c r="D5" s="2" t="str">
        <f>"9780253003928"</f>
        <v>9780253003928</v>
      </c>
      <c r="E5" s="2">
        <v>501434</v>
      </c>
    </row>
    <row r="6" spans="1:5" x14ac:dyDescent="0.25">
      <c r="A6" s="4">
        <v>43144.394629629627</v>
      </c>
      <c r="B6" s="2" t="s">
        <v>98</v>
      </c>
      <c r="C6" s="2" t="s">
        <v>5</v>
      </c>
      <c r="D6" s="2" t="str">
        <f>"9781784507084"</f>
        <v>9781784507084</v>
      </c>
      <c r="E6" s="2">
        <v>5124306</v>
      </c>
    </row>
    <row r="7" spans="1:5" x14ac:dyDescent="0.25">
      <c r="A7" s="4">
        <v>41994.908159722225</v>
      </c>
      <c r="B7" s="2" t="s">
        <v>405</v>
      </c>
      <c r="C7" s="2" t="s">
        <v>205</v>
      </c>
      <c r="D7" s="2" t="str">
        <f>"9780787979003"</f>
        <v>9780787979003</v>
      </c>
      <c r="E7" s="2">
        <v>231464</v>
      </c>
    </row>
    <row r="8" spans="1:5" x14ac:dyDescent="0.25">
      <c r="A8" s="4">
        <v>41994.908217592594</v>
      </c>
      <c r="B8" s="2" t="s">
        <v>238</v>
      </c>
      <c r="C8" s="2" t="s">
        <v>160</v>
      </c>
      <c r="D8" s="2" t="str">
        <f>"9781118085745"</f>
        <v>9781118085745</v>
      </c>
      <c r="E8" s="2">
        <v>698052</v>
      </c>
    </row>
    <row r="9" spans="1:5" x14ac:dyDescent="0.25">
      <c r="A9" s="4">
        <v>41870.434224537035</v>
      </c>
      <c r="B9" s="2" t="s">
        <v>3949</v>
      </c>
      <c r="C9" s="2" t="s">
        <v>63</v>
      </c>
      <c r="D9" s="2" t="str">
        <f>"9781400849987"</f>
        <v>9781400849987</v>
      </c>
      <c r="E9" s="2">
        <v>1566442</v>
      </c>
    </row>
    <row r="10" spans="1:5" x14ac:dyDescent="0.25">
      <c r="A10" s="4">
        <v>41994.902013888888</v>
      </c>
      <c r="B10" s="2" t="s">
        <v>651</v>
      </c>
      <c r="C10" s="2" t="s">
        <v>119</v>
      </c>
      <c r="D10" s="2" t="str">
        <f>"9780520959712"</f>
        <v>9780520959712</v>
      </c>
      <c r="E10" s="2">
        <v>1710993</v>
      </c>
    </row>
    <row r="11" spans="1:5" x14ac:dyDescent="0.25">
      <c r="A11" s="4">
        <v>41994.902025462965</v>
      </c>
      <c r="B11" s="2" t="s">
        <v>630</v>
      </c>
      <c r="C11" s="2" t="s">
        <v>119</v>
      </c>
      <c r="D11" s="2" t="str">
        <f>"9780520944466"</f>
        <v>9780520944466</v>
      </c>
      <c r="E11" s="2">
        <v>1760635</v>
      </c>
    </row>
    <row r="12" spans="1:5" x14ac:dyDescent="0.25">
      <c r="A12" s="4">
        <v>41994.892916666664</v>
      </c>
      <c r="B12" s="2" t="s">
        <v>1714</v>
      </c>
      <c r="C12" s="2" t="s">
        <v>16</v>
      </c>
      <c r="D12" s="2" t="str">
        <f>"9781609187552"</f>
        <v>9781609187552</v>
      </c>
      <c r="E12" s="2">
        <v>684297</v>
      </c>
    </row>
    <row r="13" spans="1:5" x14ac:dyDescent="0.25">
      <c r="A13" s="4">
        <v>41961.989166666666</v>
      </c>
      <c r="B13" s="2" t="s">
        <v>2994</v>
      </c>
      <c r="C13" s="2" t="s">
        <v>160</v>
      </c>
      <c r="D13" s="2" t="str">
        <f>"9781444315714"</f>
        <v>9781444315714</v>
      </c>
      <c r="E13" s="2">
        <v>547061</v>
      </c>
    </row>
    <row r="14" spans="1:5" x14ac:dyDescent="0.25">
      <c r="A14" s="4">
        <v>41900.736377314817</v>
      </c>
      <c r="B14" s="2" t="s">
        <v>2994</v>
      </c>
      <c r="C14" s="2" t="s">
        <v>160</v>
      </c>
      <c r="D14" s="2" t="str">
        <f>"9781444315714"</f>
        <v>9781444315714</v>
      </c>
      <c r="E14" s="2">
        <v>547061</v>
      </c>
    </row>
    <row r="15" spans="1:5" x14ac:dyDescent="0.25">
      <c r="A15" s="4">
        <v>41974.631469907406</v>
      </c>
      <c r="B15" s="2" t="s">
        <v>2942</v>
      </c>
      <c r="C15" s="2" t="s">
        <v>7</v>
      </c>
      <c r="D15" s="2" t="str">
        <f>"9781412932073"</f>
        <v>9781412932073</v>
      </c>
      <c r="E15" s="2">
        <v>344369</v>
      </c>
    </row>
    <row r="16" spans="1:5" x14ac:dyDescent="0.25">
      <c r="A16" s="4">
        <v>41994.896180555559</v>
      </c>
      <c r="B16" s="2" t="s">
        <v>1434</v>
      </c>
      <c r="C16" s="2" t="s">
        <v>28</v>
      </c>
      <c r="D16" s="2" t="str">
        <f>"9780253015631"</f>
        <v>9780253015631</v>
      </c>
      <c r="E16" s="2">
        <v>1822940</v>
      </c>
    </row>
    <row r="17" spans="1:5" x14ac:dyDescent="0.25">
      <c r="A17" s="4">
        <v>41994.90824074074</v>
      </c>
      <c r="B17" s="2" t="s">
        <v>174</v>
      </c>
      <c r="C17" s="2" t="s">
        <v>26</v>
      </c>
      <c r="D17" s="2" t="str">
        <f>"9781444358155"</f>
        <v>9781444358155</v>
      </c>
      <c r="E17" s="2">
        <v>819393</v>
      </c>
    </row>
    <row r="18" spans="1:5" x14ac:dyDescent="0.25">
      <c r="A18" s="4">
        <v>41921.807106481479</v>
      </c>
      <c r="B18" s="2" t="s">
        <v>3332</v>
      </c>
      <c r="C18" s="2" t="s">
        <v>36</v>
      </c>
      <c r="D18" s="2" t="str">
        <f>"9781476615622"</f>
        <v>9781476615622</v>
      </c>
      <c r="E18" s="2">
        <v>1705826</v>
      </c>
    </row>
    <row r="19" spans="1:5" x14ac:dyDescent="0.25">
      <c r="A19" s="4">
        <v>41994.899085648147</v>
      </c>
      <c r="B19" s="2" t="s">
        <v>1293</v>
      </c>
      <c r="C19" s="2" t="s">
        <v>63</v>
      </c>
      <c r="D19" s="2" t="str">
        <f>"9781400836802"</f>
        <v>9781400836802</v>
      </c>
      <c r="E19" s="2">
        <v>729947</v>
      </c>
    </row>
    <row r="20" spans="1:5" x14ac:dyDescent="0.25">
      <c r="A20" s="4">
        <v>41994.899085648147</v>
      </c>
      <c r="B20" s="2" t="s">
        <v>1281</v>
      </c>
      <c r="C20" s="2" t="s">
        <v>63</v>
      </c>
      <c r="D20" s="2" t="str">
        <f>"9781400839513"</f>
        <v>9781400839513</v>
      </c>
      <c r="E20" s="2">
        <v>740293</v>
      </c>
    </row>
    <row r="21" spans="1:5" x14ac:dyDescent="0.25">
      <c r="A21" s="4">
        <v>41934.952534722222</v>
      </c>
      <c r="B21" s="2" t="s">
        <v>3042</v>
      </c>
      <c r="C21" s="2" t="s">
        <v>26</v>
      </c>
      <c r="D21" s="2" t="str">
        <f>"9780470777046"</f>
        <v>9780470777046</v>
      </c>
      <c r="E21" s="2">
        <v>350853</v>
      </c>
    </row>
    <row r="22" spans="1:5" x14ac:dyDescent="0.25">
      <c r="A22" s="4">
        <v>41900.786666666667</v>
      </c>
      <c r="B22" s="2" t="s">
        <v>3827</v>
      </c>
      <c r="C22" s="2" t="s">
        <v>63</v>
      </c>
      <c r="D22" s="2" t="str">
        <f>"9781400829682"</f>
        <v>9781400829682</v>
      </c>
      <c r="E22" s="2">
        <v>457815</v>
      </c>
    </row>
    <row r="23" spans="1:5" x14ac:dyDescent="0.25">
      <c r="A23" s="4">
        <v>41994.908171296294</v>
      </c>
      <c r="B23" s="2" t="s">
        <v>373</v>
      </c>
      <c r="C23" s="2" t="s">
        <v>26</v>
      </c>
      <c r="D23" s="2" t="str">
        <f>"9780470777756"</f>
        <v>9780470777756</v>
      </c>
      <c r="E23" s="2">
        <v>350857</v>
      </c>
    </row>
    <row r="24" spans="1:5" x14ac:dyDescent="0.25">
      <c r="A24" s="4">
        <v>41919.650185185186</v>
      </c>
      <c r="B24" s="2" t="s">
        <v>3389</v>
      </c>
      <c r="C24" s="2" t="s">
        <v>205</v>
      </c>
      <c r="D24" s="2" t="str">
        <f>"9780470634554"</f>
        <v>9780470634554</v>
      </c>
      <c r="E24" s="2">
        <v>547045</v>
      </c>
    </row>
    <row r="25" spans="1:5" x14ac:dyDescent="0.25">
      <c r="A25" s="4">
        <v>41836.553900462961</v>
      </c>
      <c r="B25" s="2" t="s">
        <v>3981</v>
      </c>
      <c r="C25" s="2" t="s">
        <v>26</v>
      </c>
      <c r="D25" s="2" t="str">
        <f>"9781444391657"</f>
        <v>9781444391657</v>
      </c>
      <c r="E25" s="2">
        <v>819471</v>
      </c>
    </row>
    <row r="26" spans="1:5" x14ac:dyDescent="0.25">
      <c r="A26" s="4">
        <v>41976.336608796293</v>
      </c>
      <c r="B26" s="2" t="s">
        <v>2723</v>
      </c>
      <c r="C26" s="2" t="s">
        <v>26</v>
      </c>
      <c r="D26" s="2" t="str">
        <f>"9781405143783"</f>
        <v>9781405143783</v>
      </c>
      <c r="E26" s="2">
        <v>233071</v>
      </c>
    </row>
    <row r="27" spans="1:5" x14ac:dyDescent="0.25">
      <c r="A27" s="4">
        <v>41976.382326388892</v>
      </c>
      <c r="B27" s="2" t="s">
        <v>2722</v>
      </c>
      <c r="C27" s="2" t="s">
        <v>26</v>
      </c>
      <c r="D27" s="2" t="str">
        <f>"9781444393774"</f>
        <v>9781444393774</v>
      </c>
      <c r="E27" s="2">
        <v>819474</v>
      </c>
    </row>
    <row r="28" spans="1:5" x14ac:dyDescent="0.25">
      <c r="A28" s="4">
        <v>41908.411053240743</v>
      </c>
      <c r="B28" s="2" t="s">
        <v>3656</v>
      </c>
      <c r="C28" s="2" t="s">
        <v>26</v>
      </c>
      <c r="D28" s="2" t="str">
        <f>"9780470695715"</f>
        <v>9780470695715</v>
      </c>
      <c r="E28" s="2">
        <v>470451</v>
      </c>
    </row>
    <row r="29" spans="1:5" x14ac:dyDescent="0.25">
      <c r="A29" s="4">
        <v>41946.518194444441</v>
      </c>
      <c r="B29" s="2" t="s">
        <v>2998</v>
      </c>
      <c r="C29" s="2" t="s">
        <v>26</v>
      </c>
      <c r="D29" s="2" t="str">
        <f>"9780470766026"</f>
        <v>9780470766026</v>
      </c>
      <c r="E29" s="2">
        <v>320058</v>
      </c>
    </row>
    <row r="30" spans="1:5" x14ac:dyDescent="0.25">
      <c r="A30" s="4">
        <v>41936.639224537037</v>
      </c>
      <c r="B30" s="2" t="s">
        <v>2998</v>
      </c>
      <c r="C30" s="2" t="s">
        <v>26</v>
      </c>
      <c r="D30" s="2" t="str">
        <f>"9780470766026"</f>
        <v>9780470766026</v>
      </c>
      <c r="E30" s="2">
        <v>320058</v>
      </c>
    </row>
    <row r="31" spans="1:5" x14ac:dyDescent="0.25">
      <c r="A31" s="4">
        <v>41975.716770833336</v>
      </c>
      <c r="B31" s="2" t="s">
        <v>2803</v>
      </c>
      <c r="C31" s="2" t="s">
        <v>26</v>
      </c>
      <c r="D31" s="2" t="str">
        <f>"9781444319101"</f>
        <v>9781444319101</v>
      </c>
      <c r="E31" s="2">
        <v>487742</v>
      </c>
    </row>
    <row r="32" spans="1:5" x14ac:dyDescent="0.25">
      <c r="A32" s="4">
        <v>41904.536736111113</v>
      </c>
      <c r="B32" s="2" t="s">
        <v>3776</v>
      </c>
      <c r="C32" s="2" t="s">
        <v>26</v>
      </c>
      <c r="D32" s="2" t="str">
        <f>"9781444357943"</f>
        <v>9781444357943</v>
      </c>
      <c r="E32" s="2">
        <v>819387</v>
      </c>
    </row>
    <row r="33" spans="1:5" x14ac:dyDescent="0.25">
      <c r="A33" s="4">
        <v>41914.882048611114</v>
      </c>
      <c r="B33" s="2" t="s">
        <v>3504</v>
      </c>
      <c r="C33" s="2" t="s">
        <v>26</v>
      </c>
      <c r="D33" s="2" t="str">
        <f>"9781444356564"</f>
        <v>9781444356564</v>
      </c>
      <c r="E33" s="2">
        <v>819360</v>
      </c>
    </row>
    <row r="34" spans="1:5" x14ac:dyDescent="0.25">
      <c r="A34" s="4">
        <v>41920.479259259257</v>
      </c>
      <c r="B34" s="2" t="s">
        <v>3374</v>
      </c>
      <c r="C34" s="2" t="s">
        <v>26</v>
      </c>
      <c r="D34" s="2" t="str">
        <f>"9781444308426"</f>
        <v>9781444308426</v>
      </c>
      <c r="E34" s="2">
        <v>428123</v>
      </c>
    </row>
    <row r="35" spans="1:5" x14ac:dyDescent="0.25">
      <c r="A35" s="4">
        <v>41983.218981481485</v>
      </c>
      <c r="B35" s="2" t="s">
        <v>2416</v>
      </c>
      <c r="C35" s="2" t="s">
        <v>26</v>
      </c>
      <c r="D35" s="2" t="str">
        <f>"9781444356588"</f>
        <v>9781444356588</v>
      </c>
      <c r="E35" s="2">
        <v>819361</v>
      </c>
    </row>
    <row r="36" spans="1:5" x14ac:dyDescent="0.25">
      <c r="A36" s="4">
        <v>41994.90824074074</v>
      </c>
      <c r="B36" s="2" t="s">
        <v>175</v>
      </c>
      <c r="C36" s="2" t="s">
        <v>26</v>
      </c>
      <c r="D36" s="2" t="str">
        <f>"9781444357202"</f>
        <v>9781444357202</v>
      </c>
      <c r="E36" s="2">
        <v>819371</v>
      </c>
    </row>
    <row r="37" spans="1:5" x14ac:dyDescent="0.25">
      <c r="A37" s="4">
        <v>41979.66915509259</v>
      </c>
      <c r="B37" s="2" t="s">
        <v>2537</v>
      </c>
      <c r="C37" s="2" t="s">
        <v>5</v>
      </c>
      <c r="D37" s="2" t="str">
        <f>"9781846423499"</f>
        <v>9781846423499</v>
      </c>
      <c r="E37" s="2">
        <v>290768</v>
      </c>
    </row>
    <row r="38" spans="1:5" x14ac:dyDescent="0.25">
      <c r="A38" s="4">
        <v>41975.766226851854</v>
      </c>
      <c r="B38" s="2" t="s">
        <v>2787</v>
      </c>
      <c r="C38" s="2" t="s">
        <v>26</v>
      </c>
      <c r="D38" s="2" t="str">
        <f>"9781405181488"</f>
        <v>9781405181488</v>
      </c>
      <c r="E38" s="2">
        <v>306532</v>
      </c>
    </row>
    <row r="39" spans="1:5" x14ac:dyDescent="0.25">
      <c r="A39" s="4">
        <v>41994.90824074074</v>
      </c>
      <c r="B39" s="2" t="s">
        <v>162</v>
      </c>
      <c r="C39" s="2" t="s">
        <v>26</v>
      </c>
      <c r="D39" s="2" t="str">
        <f>"9781444347500"</f>
        <v>9781444347500</v>
      </c>
      <c r="E39" s="2">
        <v>822651</v>
      </c>
    </row>
    <row r="40" spans="1:5" x14ac:dyDescent="0.25">
      <c r="A40" s="4">
        <v>41994.899085648147</v>
      </c>
      <c r="B40" s="2" t="s">
        <v>1308</v>
      </c>
      <c r="C40" s="2" t="s">
        <v>63</v>
      </c>
      <c r="D40" s="2" t="str">
        <f>"9781400838837"</f>
        <v>9781400838837</v>
      </c>
      <c r="E40" s="2">
        <v>686413</v>
      </c>
    </row>
    <row r="41" spans="1:5" x14ac:dyDescent="0.25">
      <c r="A41" s="4">
        <v>41908.250405092593</v>
      </c>
      <c r="B41" s="2" t="s">
        <v>3661</v>
      </c>
      <c r="C41" s="2" t="s">
        <v>18</v>
      </c>
      <c r="D41" s="2" t="str">
        <f>"9781472909046"</f>
        <v>9781472909046</v>
      </c>
      <c r="E41" s="2">
        <v>1744105</v>
      </c>
    </row>
    <row r="42" spans="1:5" x14ac:dyDescent="0.25">
      <c r="A42" s="4">
        <v>41974.681840277779</v>
      </c>
      <c r="B42" s="2" t="s">
        <v>2933</v>
      </c>
      <c r="C42" s="2" t="s">
        <v>119</v>
      </c>
      <c r="D42" s="2" t="str">
        <f>"9780520940291"</f>
        <v>9780520940291</v>
      </c>
      <c r="E42" s="2">
        <v>231901</v>
      </c>
    </row>
    <row r="43" spans="1:5" x14ac:dyDescent="0.25">
      <c r="A43" s="4">
        <v>41994.902002314811</v>
      </c>
      <c r="B43" s="2" t="s">
        <v>701</v>
      </c>
      <c r="C43" s="2" t="s">
        <v>119</v>
      </c>
      <c r="D43" s="2" t="str">
        <f>"9780520956520"</f>
        <v>9780520956520</v>
      </c>
      <c r="E43" s="2">
        <v>1249497</v>
      </c>
    </row>
    <row r="44" spans="1:5" x14ac:dyDescent="0.25">
      <c r="A44" s="4">
        <v>41994.899074074077</v>
      </c>
      <c r="B44" s="2" t="s">
        <v>1336</v>
      </c>
      <c r="C44" s="2" t="s">
        <v>63</v>
      </c>
      <c r="D44" s="2" t="str">
        <f>"9781400837229"</f>
        <v>9781400837229</v>
      </c>
      <c r="E44" s="2">
        <v>646774</v>
      </c>
    </row>
    <row r="45" spans="1:5" x14ac:dyDescent="0.25">
      <c r="A45" s="4">
        <v>41994.896157407406</v>
      </c>
      <c r="B45" s="2" t="s">
        <v>1493</v>
      </c>
      <c r="C45" s="2" t="s">
        <v>28</v>
      </c>
      <c r="D45" s="2" t="str">
        <f>"9780253007599"</f>
        <v>9780253007599</v>
      </c>
      <c r="E45" s="2">
        <v>1100792</v>
      </c>
    </row>
    <row r="46" spans="1:5" x14ac:dyDescent="0.25">
      <c r="A46" s="4">
        <v>41994.899074074077</v>
      </c>
      <c r="B46" s="2" t="s">
        <v>1348</v>
      </c>
      <c r="C46" s="2" t="s">
        <v>63</v>
      </c>
      <c r="D46" s="2" t="str">
        <f>"9781400825776"</f>
        <v>9781400825776</v>
      </c>
      <c r="E46" s="2">
        <v>616672</v>
      </c>
    </row>
    <row r="47" spans="1:5" x14ac:dyDescent="0.25">
      <c r="A47" s="4">
        <v>41994.902025462965</v>
      </c>
      <c r="B47" s="2" t="s">
        <v>632</v>
      </c>
      <c r="C47" s="2" t="s">
        <v>119</v>
      </c>
      <c r="D47" s="2" t="str">
        <f>"9780520959637"</f>
        <v>9780520959637</v>
      </c>
      <c r="E47" s="2">
        <v>1711058</v>
      </c>
    </row>
    <row r="48" spans="1:5" x14ac:dyDescent="0.25">
      <c r="A48" s="4">
        <v>41994.901967592596</v>
      </c>
      <c r="B48" s="2" t="s">
        <v>830</v>
      </c>
      <c r="C48" s="2" t="s">
        <v>119</v>
      </c>
      <c r="D48" s="2" t="str">
        <f>"9780520943667"</f>
        <v>9780520943667</v>
      </c>
      <c r="E48" s="2">
        <v>837155</v>
      </c>
    </row>
    <row r="49" spans="1:5" x14ac:dyDescent="0.25">
      <c r="A49" s="4">
        <v>41994.892916666664</v>
      </c>
      <c r="B49" s="2" t="s">
        <v>1729</v>
      </c>
      <c r="C49" s="2" t="s">
        <v>16</v>
      </c>
      <c r="D49" s="2" t="str">
        <f>"9781606239223"</f>
        <v>9781606239223</v>
      </c>
      <c r="E49" s="2">
        <v>615851</v>
      </c>
    </row>
    <row r="50" spans="1:5" x14ac:dyDescent="0.25">
      <c r="A50" s="4">
        <v>42122.781550925924</v>
      </c>
      <c r="B50" s="2" t="s">
        <v>2237</v>
      </c>
      <c r="C50" s="2" t="s">
        <v>26</v>
      </c>
      <c r="D50" s="2" t="str">
        <f>"9780470902455"</f>
        <v>9780470902455</v>
      </c>
      <c r="E50" s="2">
        <v>698776</v>
      </c>
    </row>
    <row r="51" spans="1:5" x14ac:dyDescent="0.25">
      <c r="A51" s="4">
        <v>42087.43954861111</v>
      </c>
      <c r="B51" s="2" t="s">
        <v>2237</v>
      </c>
      <c r="C51" s="2" t="s">
        <v>26</v>
      </c>
      <c r="D51" s="2" t="str">
        <f>"9780470902455"</f>
        <v>9780470902455</v>
      </c>
      <c r="E51" s="2">
        <v>698776</v>
      </c>
    </row>
    <row r="52" spans="1:5" x14ac:dyDescent="0.25">
      <c r="A52" s="4">
        <v>42045.981435185182</v>
      </c>
      <c r="B52" s="2" t="s">
        <v>2237</v>
      </c>
      <c r="C52" s="2" t="s">
        <v>26</v>
      </c>
      <c r="D52" s="2" t="str">
        <f>"9780470902455"</f>
        <v>9780470902455</v>
      </c>
      <c r="E52" s="2">
        <v>698776</v>
      </c>
    </row>
    <row r="53" spans="1:5" x14ac:dyDescent="0.25">
      <c r="A53" s="4">
        <v>41975.947106481479</v>
      </c>
      <c r="B53" s="2" t="s">
        <v>2237</v>
      </c>
      <c r="C53" s="2" t="s">
        <v>26</v>
      </c>
      <c r="D53" s="2" t="str">
        <f>"9781118007396"</f>
        <v>9781118007396</v>
      </c>
      <c r="E53" s="2">
        <v>588862</v>
      </c>
    </row>
    <row r="54" spans="1:5" x14ac:dyDescent="0.25">
      <c r="A54" s="4">
        <v>41903.656446759262</v>
      </c>
      <c r="B54" s="2" t="s">
        <v>2237</v>
      </c>
      <c r="C54" s="2" t="s">
        <v>26</v>
      </c>
      <c r="D54" s="2" t="str">
        <f>"9780470902455"</f>
        <v>9780470902455</v>
      </c>
      <c r="E54" s="2">
        <v>698776</v>
      </c>
    </row>
    <row r="55" spans="1:5" x14ac:dyDescent="0.25">
      <c r="A55" s="4">
        <v>41994.89912037037</v>
      </c>
      <c r="B55" s="2" t="s">
        <v>1195</v>
      </c>
      <c r="C55" s="2" t="s">
        <v>63</v>
      </c>
      <c r="D55" s="2" t="str">
        <f>"9781400845965"</f>
        <v>9781400845965</v>
      </c>
      <c r="E55" s="2">
        <v>1097966</v>
      </c>
    </row>
    <row r="56" spans="1:5" x14ac:dyDescent="0.25">
      <c r="A56" s="4">
        <v>41917.310891203706</v>
      </c>
      <c r="B56" s="2" t="s">
        <v>3466</v>
      </c>
      <c r="C56" s="2" t="s">
        <v>26</v>
      </c>
      <c r="D56" s="2" t="str">
        <f>"9780470600030"</f>
        <v>9780470600030</v>
      </c>
      <c r="E56" s="2">
        <v>495953</v>
      </c>
    </row>
    <row r="57" spans="1:5" x14ac:dyDescent="0.25">
      <c r="A57" s="4">
        <v>41909.111250000002</v>
      </c>
      <c r="B57" s="2" t="s">
        <v>3636</v>
      </c>
      <c r="C57" s="2" t="s">
        <v>18</v>
      </c>
      <c r="D57" s="2" t="str">
        <f>"9781441139481"</f>
        <v>9781441139481</v>
      </c>
      <c r="E57" s="2">
        <v>617189</v>
      </c>
    </row>
    <row r="58" spans="1:5" x14ac:dyDescent="0.25">
      <c r="A58" s="4">
        <v>41910.688958333332</v>
      </c>
      <c r="B58" s="2" t="s">
        <v>3618</v>
      </c>
      <c r="C58" s="2" t="s">
        <v>26</v>
      </c>
      <c r="D58" s="2" t="str">
        <f>"9781444359190"</f>
        <v>9781444359190</v>
      </c>
      <c r="E58" s="2">
        <v>819424</v>
      </c>
    </row>
    <row r="59" spans="1:5" x14ac:dyDescent="0.25">
      <c r="A59" s="4">
        <v>41994.908194444448</v>
      </c>
      <c r="B59" s="2" t="s">
        <v>322</v>
      </c>
      <c r="C59" s="2" t="s">
        <v>26</v>
      </c>
      <c r="D59" s="2" t="str">
        <f>"9781444325478"</f>
        <v>9781444325478</v>
      </c>
      <c r="E59" s="2">
        <v>537387</v>
      </c>
    </row>
    <row r="60" spans="1:5" x14ac:dyDescent="0.25">
      <c r="A60" s="4">
        <v>41994.88989583333</v>
      </c>
      <c r="B60" s="2" t="s">
        <v>1866</v>
      </c>
      <c r="C60" s="2" t="s">
        <v>72</v>
      </c>
      <c r="D60" s="2" t="str">
        <f>"9780748629503"</f>
        <v>9780748629503</v>
      </c>
      <c r="E60" s="2">
        <v>744020</v>
      </c>
    </row>
    <row r="61" spans="1:5" x14ac:dyDescent="0.25">
      <c r="A61" s="4">
        <v>41905.69803240741</v>
      </c>
      <c r="B61" s="2" t="s">
        <v>3735</v>
      </c>
      <c r="C61" s="2" t="s">
        <v>26</v>
      </c>
      <c r="D61" s="2" t="str">
        <f>"9781444305142"</f>
        <v>9781444305142</v>
      </c>
      <c r="E61" s="2">
        <v>428255</v>
      </c>
    </row>
    <row r="62" spans="1:5" x14ac:dyDescent="0.25">
      <c r="A62" s="4">
        <v>41932.878611111111</v>
      </c>
      <c r="B62" s="2" t="s">
        <v>3106</v>
      </c>
      <c r="C62" s="2" t="s">
        <v>26</v>
      </c>
      <c r="D62" s="2" t="str">
        <f>"9781444359725"</f>
        <v>9781444359725</v>
      </c>
      <c r="E62" s="2">
        <v>819437</v>
      </c>
    </row>
    <row r="63" spans="1:5" x14ac:dyDescent="0.25">
      <c r="A63" s="4">
        <v>41984.769328703704</v>
      </c>
      <c r="B63" s="2" t="s">
        <v>2350</v>
      </c>
      <c r="C63" s="2" t="s">
        <v>26</v>
      </c>
      <c r="D63" s="2" t="str">
        <f>"9781444323511"</f>
        <v>9781444323511</v>
      </c>
      <c r="E63" s="2">
        <v>485640</v>
      </c>
    </row>
    <row r="64" spans="1:5" x14ac:dyDescent="0.25">
      <c r="A64" s="4">
        <v>41921.381261574075</v>
      </c>
      <c r="B64" s="2" t="s">
        <v>3348</v>
      </c>
      <c r="C64" s="2" t="s">
        <v>26</v>
      </c>
      <c r="D64" s="2" t="str">
        <f>"9780471784562"</f>
        <v>9780471784562</v>
      </c>
      <c r="E64" s="2">
        <v>238814</v>
      </c>
    </row>
    <row r="65" spans="1:5" x14ac:dyDescent="0.25">
      <c r="A65" s="4">
        <v>41994.896145833336</v>
      </c>
      <c r="B65" s="2" t="s">
        <v>1495</v>
      </c>
      <c r="C65" s="2" t="s">
        <v>28</v>
      </c>
      <c r="D65" s="2" t="str">
        <f>"9780253000781"</f>
        <v>9780253000781</v>
      </c>
      <c r="E65" s="2">
        <v>1031819</v>
      </c>
    </row>
    <row r="66" spans="1:5" x14ac:dyDescent="0.25">
      <c r="A66" s="4">
        <v>41885.451249999998</v>
      </c>
      <c r="B66" s="2" t="s">
        <v>3905</v>
      </c>
      <c r="C66" s="2" t="s">
        <v>26</v>
      </c>
      <c r="D66" s="2" t="str">
        <f>"9781444357530"</f>
        <v>9781444357530</v>
      </c>
      <c r="E66" s="2">
        <v>819375</v>
      </c>
    </row>
    <row r="67" spans="1:5" x14ac:dyDescent="0.25">
      <c r="A67" s="4">
        <v>41876.629189814812</v>
      </c>
      <c r="B67" s="2" t="s">
        <v>3937</v>
      </c>
      <c r="C67" s="2" t="s">
        <v>26</v>
      </c>
      <c r="D67" s="2" t="str">
        <f>"9781444355130"</f>
        <v>9781444355130</v>
      </c>
      <c r="E67" s="2">
        <v>822662</v>
      </c>
    </row>
    <row r="68" spans="1:5" x14ac:dyDescent="0.25">
      <c r="A68" s="4">
        <v>41920.655810185184</v>
      </c>
      <c r="B68" s="2" t="s">
        <v>3363</v>
      </c>
      <c r="C68" s="2" t="s">
        <v>26</v>
      </c>
      <c r="D68" s="2" t="str">
        <f>"9781444396881"</f>
        <v>9781444396881</v>
      </c>
      <c r="E68" s="2">
        <v>706774</v>
      </c>
    </row>
    <row r="69" spans="1:5" x14ac:dyDescent="0.25">
      <c r="A69" s="4">
        <v>42083.81622685185</v>
      </c>
      <c r="B69" s="2" t="s">
        <v>2249</v>
      </c>
      <c r="C69" s="2" t="s">
        <v>26</v>
      </c>
      <c r="D69" s="2" t="str">
        <f>"9781444358117"</f>
        <v>9781444358117</v>
      </c>
      <c r="E69" s="2">
        <v>819392</v>
      </c>
    </row>
    <row r="70" spans="1:5" x14ac:dyDescent="0.25">
      <c r="A70" s="4">
        <v>41933.983067129629</v>
      </c>
      <c r="B70" s="2" t="s">
        <v>2249</v>
      </c>
      <c r="C70" s="2" t="s">
        <v>26</v>
      </c>
      <c r="D70" s="2" t="str">
        <f>"9781444358117"</f>
        <v>9781444358117</v>
      </c>
      <c r="E70" s="2">
        <v>819392</v>
      </c>
    </row>
    <row r="71" spans="1:5" x14ac:dyDescent="0.25">
      <c r="A71" s="4">
        <v>41927.378564814811</v>
      </c>
      <c r="B71" s="2" t="s">
        <v>3226</v>
      </c>
      <c r="C71" s="2" t="s">
        <v>26</v>
      </c>
      <c r="D71" s="2" t="str">
        <f>"9780470585993"</f>
        <v>9780470585993</v>
      </c>
      <c r="E71" s="2">
        <v>487652</v>
      </c>
    </row>
    <row r="72" spans="1:5" x14ac:dyDescent="0.25">
      <c r="A72" s="4">
        <v>41994.902013888888</v>
      </c>
      <c r="B72" s="2" t="s">
        <v>687</v>
      </c>
      <c r="C72" s="2" t="s">
        <v>119</v>
      </c>
      <c r="D72" s="2" t="str">
        <f>"9780520956711"</f>
        <v>9780520956711</v>
      </c>
      <c r="E72" s="2">
        <v>1543759</v>
      </c>
    </row>
    <row r="73" spans="1:5" x14ac:dyDescent="0.25">
      <c r="A73" s="4">
        <v>41994.905601851853</v>
      </c>
      <c r="B73" s="2" t="s">
        <v>527</v>
      </c>
      <c r="C73" s="2" t="s">
        <v>96</v>
      </c>
      <c r="D73" s="2" t="str">
        <f>"9780807868034"</f>
        <v>9780807868034</v>
      </c>
      <c r="E73" s="2">
        <v>879962</v>
      </c>
    </row>
    <row r="74" spans="1:5" x14ac:dyDescent="0.25">
      <c r="A74" s="4">
        <v>41975.028240740743</v>
      </c>
      <c r="B74" s="2" t="s">
        <v>2877</v>
      </c>
      <c r="C74" s="2" t="s">
        <v>26</v>
      </c>
      <c r="D74" s="2" t="str">
        <f>"9781444319286"</f>
        <v>9781444319286</v>
      </c>
      <c r="E74" s="2">
        <v>470704</v>
      </c>
    </row>
    <row r="75" spans="1:5" x14ac:dyDescent="0.25">
      <c r="A75" s="4">
        <v>41974.766782407409</v>
      </c>
      <c r="B75" s="2" t="s">
        <v>2916</v>
      </c>
      <c r="C75" s="2" t="s">
        <v>28</v>
      </c>
      <c r="D75" s="2" t="str">
        <f>"9780253001047"</f>
        <v>9780253001047</v>
      </c>
      <c r="E75" s="2">
        <v>816827</v>
      </c>
    </row>
    <row r="76" spans="1:5" x14ac:dyDescent="0.25">
      <c r="A76" s="4">
        <v>41994.899097222224</v>
      </c>
      <c r="B76" s="2" t="s">
        <v>1240</v>
      </c>
      <c r="C76" s="2" t="s">
        <v>63</v>
      </c>
      <c r="D76" s="2" t="str">
        <f>"9781400842247"</f>
        <v>9781400842247</v>
      </c>
      <c r="E76" s="2">
        <v>865252</v>
      </c>
    </row>
    <row r="77" spans="1:5" x14ac:dyDescent="0.25">
      <c r="A77" s="4">
        <v>41982.345949074072</v>
      </c>
      <c r="B77" s="2" t="s">
        <v>2453</v>
      </c>
      <c r="C77" s="2" t="s">
        <v>5</v>
      </c>
      <c r="D77" s="2" t="str">
        <f>"9780857006301"</f>
        <v>9780857006301</v>
      </c>
      <c r="E77" s="2">
        <v>1109888</v>
      </c>
    </row>
    <row r="78" spans="1:5" x14ac:dyDescent="0.25">
      <c r="A78" s="4">
        <v>41994.899062500001</v>
      </c>
      <c r="B78" s="2" t="s">
        <v>1354</v>
      </c>
      <c r="C78" s="2" t="s">
        <v>63</v>
      </c>
      <c r="D78" s="2" t="str">
        <f>"9781400829330"</f>
        <v>9781400829330</v>
      </c>
      <c r="E78" s="2">
        <v>590813</v>
      </c>
    </row>
    <row r="79" spans="1:5" x14ac:dyDescent="0.25">
      <c r="A79" s="4">
        <v>43139.360844907409</v>
      </c>
      <c r="B79" s="2" t="s">
        <v>110</v>
      </c>
      <c r="C79" s="2" t="s">
        <v>5</v>
      </c>
      <c r="D79" s="2" t="str">
        <f>"9781784503093"</f>
        <v>9781784503093</v>
      </c>
      <c r="E79" s="2">
        <v>5117055</v>
      </c>
    </row>
    <row r="80" spans="1:5" x14ac:dyDescent="0.25">
      <c r="A80" s="4">
        <v>41994.905601851853</v>
      </c>
      <c r="B80" s="2" t="s">
        <v>522</v>
      </c>
      <c r="C80" s="2" t="s">
        <v>96</v>
      </c>
      <c r="D80" s="2" t="str">
        <f>"9780807898765"</f>
        <v>9780807898765</v>
      </c>
      <c r="E80" s="2">
        <v>880107</v>
      </c>
    </row>
    <row r="81" spans="1:5" x14ac:dyDescent="0.25">
      <c r="A81" s="4">
        <v>41899.386631944442</v>
      </c>
      <c r="B81" s="2" t="s">
        <v>3860</v>
      </c>
      <c r="C81" s="2" t="s">
        <v>63</v>
      </c>
      <c r="D81" s="2" t="str">
        <f>"9781400821471"</f>
        <v>9781400821471</v>
      </c>
      <c r="E81" s="2">
        <v>793223</v>
      </c>
    </row>
    <row r="82" spans="1:5" x14ac:dyDescent="0.25">
      <c r="A82" s="4">
        <v>41994.899097222224</v>
      </c>
      <c r="B82" s="2" t="s">
        <v>1263</v>
      </c>
      <c r="C82" s="2" t="s">
        <v>63</v>
      </c>
      <c r="D82" s="2" t="str">
        <f>"9781400829095"</f>
        <v>9781400829095</v>
      </c>
      <c r="E82" s="2">
        <v>819621</v>
      </c>
    </row>
    <row r="83" spans="1:5" x14ac:dyDescent="0.25">
      <c r="A83" s="4">
        <v>41903.635000000002</v>
      </c>
      <c r="B83" s="2" t="s">
        <v>3794</v>
      </c>
      <c r="C83" s="2" t="s">
        <v>2170</v>
      </c>
      <c r="D83" s="2" t="str">
        <f>"9781783602698"</f>
        <v>9781783602698</v>
      </c>
      <c r="E83" s="2">
        <v>1665612</v>
      </c>
    </row>
    <row r="84" spans="1:5" x14ac:dyDescent="0.25">
      <c r="A84" s="4">
        <v>41994.901990740742</v>
      </c>
      <c r="B84" s="2" t="s">
        <v>758</v>
      </c>
      <c r="C84" s="2" t="s">
        <v>119</v>
      </c>
      <c r="D84" s="2" t="str">
        <f>"9780520953345"</f>
        <v>9780520953345</v>
      </c>
      <c r="E84" s="2">
        <v>934315</v>
      </c>
    </row>
    <row r="85" spans="1:5" x14ac:dyDescent="0.25">
      <c r="A85" s="4">
        <v>41978.674212962964</v>
      </c>
      <c r="B85" s="2" t="s">
        <v>2560</v>
      </c>
      <c r="C85" s="2" t="s">
        <v>28</v>
      </c>
      <c r="D85" s="2" t="str">
        <f>"9780253013774"</f>
        <v>9780253013774</v>
      </c>
      <c r="E85" s="2">
        <v>1402905</v>
      </c>
    </row>
    <row r="86" spans="1:5" x14ac:dyDescent="0.25">
      <c r="A86" s="4">
        <v>41981.406400462962</v>
      </c>
      <c r="B86" s="2" t="s">
        <v>2480</v>
      </c>
      <c r="C86" s="2" t="s">
        <v>28</v>
      </c>
      <c r="D86" s="2" t="str">
        <f>"9780253005281"</f>
        <v>9780253005281</v>
      </c>
      <c r="E86" s="2">
        <v>670323</v>
      </c>
    </row>
    <row r="87" spans="1:5" x14ac:dyDescent="0.25">
      <c r="A87" s="4">
        <v>41994.899050925924</v>
      </c>
      <c r="B87" s="2" t="s">
        <v>1402</v>
      </c>
      <c r="C87" s="2" t="s">
        <v>63</v>
      </c>
      <c r="D87" s="2" t="str">
        <f>"9781400826544"</f>
        <v>9781400826544</v>
      </c>
      <c r="E87" s="2">
        <v>457922</v>
      </c>
    </row>
    <row r="88" spans="1:5" x14ac:dyDescent="0.25">
      <c r="A88" s="4">
        <v>41994.902002314811</v>
      </c>
      <c r="B88" s="2" t="s">
        <v>723</v>
      </c>
      <c r="C88" s="2" t="s">
        <v>119</v>
      </c>
      <c r="D88" s="2" t="str">
        <f>"9780520954786"</f>
        <v>9780520954786</v>
      </c>
      <c r="E88" s="2">
        <v>1120966</v>
      </c>
    </row>
    <row r="89" spans="1:5" x14ac:dyDescent="0.25">
      <c r="A89" s="4">
        <v>41994.902025462965</v>
      </c>
      <c r="B89" s="2" t="s">
        <v>636</v>
      </c>
      <c r="C89" s="2" t="s">
        <v>119</v>
      </c>
      <c r="D89" s="2" t="str">
        <f>"9780520959101"</f>
        <v>9780520959101</v>
      </c>
      <c r="E89" s="2">
        <v>1711044</v>
      </c>
    </row>
    <row r="90" spans="1:5" x14ac:dyDescent="0.25">
      <c r="A90" s="4">
        <v>41986.521793981483</v>
      </c>
      <c r="B90" s="2" t="s">
        <v>2323</v>
      </c>
      <c r="C90" s="2" t="s">
        <v>5</v>
      </c>
      <c r="D90" s="2" t="str">
        <f>"9780857006462"</f>
        <v>9780857006462</v>
      </c>
      <c r="E90" s="2">
        <v>915934</v>
      </c>
    </row>
    <row r="91" spans="1:5" x14ac:dyDescent="0.25">
      <c r="A91" s="4">
        <v>43146.477256944447</v>
      </c>
      <c r="B91" s="2" t="s">
        <v>94</v>
      </c>
      <c r="C91" s="2" t="s">
        <v>5</v>
      </c>
      <c r="D91" s="2" t="str">
        <f>"9781784506810"</f>
        <v>9781784506810</v>
      </c>
      <c r="E91" s="2">
        <v>5124038</v>
      </c>
    </row>
    <row r="92" spans="1:5" x14ac:dyDescent="0.25">
      <c r="A92" s="4">
        <v>41994.896122685182</v>
      </c>
      <c r="B92" s="2" t="s">
        <v>1548</v>
      </c>
      <c r="C92" s="2" t="s">
        <v>28</v>
      </c>
      <c r="D92" s="2" t="str">
        <f>"9780253005649"</f>
        <v>9780253005649</v>
      </c>
      <c r="E92" s="2">
        <v>670319</v>
      </c>
    </row>
    <row r="93" spans="1:5" x14ac:dyDescent="0.25">
      <c r="A93" s="4">
        <v>41994.905613425923</v>
      </c>
      <c r="B93" s="2" t="s">
        <v>498</v>
      </c>
      <c r="C93" s="2" t="s">
        <v>96</v>
      </c>
      <c r="D93" s="2" t="str">
        <f>"9780807837115"</f>
        <v>9780807837115</v>
      </c>
      <c r="E93" s="2">
        <v>989837</v>
      </c>
    </row>
    <row r="94" spans="1:5" x14ac:dyDescent="0.25">
      <c r="A94" s="4">
        <v>41994.899062500001</v>
      </c>
      <c r="B94" s="2" t="s">
        <v>1373</v>
      </c>
      <c r="C94" s="2" t="s">
        <v>63</v>
      </c>
      <c r="D94" s="2" t="str">
        <f>"9781400831609"</f>
        <v>9781400831609</v>
      </c>
      <c r="E94" s="2">
        <v>537684</v>
      </c>
    </row>
    <row r="95" spans="1:5" x14ac:dyDescent="0.25">
      <c r="A95" s="4">
        <v>41994.901921296296</v>
      </c>
      <c r="B95" s="2" t="s">
        <v>972</v>
      </c>
      <c r="C95" s="2" t="s">
        <v>119</v>
      </c>
      <c r="D95" s="2" t="str">
        <f>"9780520940918"</f>
        <v>9780520940918</v>
      </c>
      <c r="E95" s="2">
        <v>240960</v>
      </c>
    </row>
    <row r="96" spans="1:5" x14ac:dyDescent="0.25">
      <c r="A96" s="4">
        <v>41994.89912037037</v>
      </c>
      <c r="B96" s="2" t="s">
        <v>1184</v>
      </c>
      <c r="C96" s="2" t="s">
        <v>63</v>
      </c>
      <c r="D96" s="2" t="str">
        <f>"9781400845972"</f>
        <v>9781400845972</v>
      </c>
      <c r="E96" s="2">
        <v>1114876</v>
      </c>
    </row>
    <row r="97" spans="1:5" x14ac:dyDescent="0.25">
      <c r="A97" s="4">
        <v>41980.618807870371</v>
      </c>
      <c r="B97" s="2" t="s">
        <v>2509</v>
      </c>
      <c r="C97" s="2" t="s">
        <v>63</v>
      </c>
      <c r="D97" s="2" t="str">
        <f>"9781400825745"</f>
        <v>9781400825745</v>
      </c>
      <c r="E97" s="2">
        <v>457786</v>
      </c>
    </row>
    <row r="98" spans="1:5" x14ac:dyDescent="0.25">
      <c r="A98" s="4">
        <v>41994.899143518516</v>
      </c>
      <c r="B98" s="2" t="s">
        <v>1091</v>
      </c>
      <c r="C98" s="2" t="s">
        <v>63</v>
      </c>
      <c r="D98" s="2" t="str">
        <f>"9781400850020"</f>
        <v>9781400850020</v>
      </c>
      <c r="E98" s="2">
        <v>1603109</v>
      </c>
    </row>
    <row r="99" spans="1:5" x14ac:dyDescent="0.25">
      <c r="A99" s="4">
        <v>41974.992326388892</v>
      </c>
      <c r="B99" s="2" t="s">
        <v>2882</v>
      </c>
      <c r="C99" s="2" t="s">
        <v>63</v>
      </c>
      <c r="D99" s="2" t="str">
        <f>"9781400820030"</f>
        <v>9781400820030</v>
      </c>
      <c r="E99" s="2">
        <v>581570</v>
      </c>
    </row>
    <row r="100" spans="1:5" x14ac:dyDescent="0.25">
      <c r="A100" s="4">
        <v>41974.599074074074</v>
      </c>
      <c r="B100" s="2" t="s">
        <v>2949</v>
      </c>
      <c r="C100" s="2" t="s">
        <v>18</v>
      </c>
      <c r="D100" s="2" t="str">
        <f>"9781472532442"</f>
        <v>9781472532442</v>
      </c>
      <c r="E100" s="2">
        <v>1731916</v>
      </c>
    </row>
    <row r="101" spans="1:5" x14ac:dyDescent="0.25">
      <c r="A101" s="4">
        <v>41933.416446759256</v>
      </c>
      <c r="B101" s="2" t="s">
        <v>3096</v>
      </c>
      <c r="C101" s="2" t="s">
        <v>63</v>
      </c>
      <c r="D101" s="2" t="str">
        <f>"9781400845446"</f>
        <v>9781400845446</v>
      </c>
      <c r="E101" s="2">
        <v>980043</v>
      </c>
    </row>
    <row r="102" spans="1:5" x14ac:dyDescent="0.25">
      <c r="A102" s="4">
        <v>41994.908229166664</v>
      </c>
      <c r="B102" s="2" t="s">
        <v>212</v>
      </c>
      <c r="C102" s="2" t="s">
        <v>26</v>
      </c>
      <c r="D102" s="2" t="str">
        <f>"9781118113332"</f>
        <v>9781118113332</v>
      </c>
      <c r="E102" s="2">
        <v>708115</v>
      </c>
    </row>
    <row r="103" spans="1:5" x14ac:dyDescent="0.25">
      <c r="A103" s="4">
        <v>41994.899097222224</v>
      </c>
      <c r="B103" s="2" t="s">
        <v>1265</v>
      </c>
      <c r="C103" s="2" t="s">
        <v>63</v>
      </c>
      <c r="D103" s="2" t="str">
        <f>"9781400832644"</f>
        <v>9781400832644</v>
      </c>
      <c r="E103" s="2">
        <v>793228</v>
      </c>
    </row>
    <row r="104" spans="1:5" x14ac:dyDescent="0.25">
      <c r="A104" s="4">
        <v>41976.883645833332</v>
      </c>
      <c r="B104" s="2" t="s">
        <v>2630</v>
      </c>
      <c r="C104" s="2" t="s">
        <v>63</v>
      </c>
      <c r="D104" s="2" t="str">
        <f>"9781400826636"</f>
        <v>9781400826636</v>
      </c>
      <c r="E104" s="2">
        <v>457881</v>
      </c>
    </row>
    <row r="105" spans="1:5" x14ac:dyDescent="0.25">
      <c r="A105" s="4">
        <v>41909.549537037034</v>
      </c>
      <c r="B105" s="2" t="s">
        <v>3629</v>
      </c>
      <c r="C105" s="2" t="s">
        <v>26</v>
      </c>
      <c r="D105" s="2" t="str">
        <f>"9780470890097"</f>
        <v>9780470890097</v>
      </c>
      <c r="E105" s="2">
        <v>589096</v>
      </c>
    </row>
    <row r="106" spans="1:5" x14ac:dyDescent="0.25">
      <c r="A106" s="4">
        <v>41932.485162037039</v>
      </c>
      <c r="B106" s="2" t="s">
        <v>3122</v>
      </c>
      <c r="C106" s="2" t="s">
        <v>96</v>
      </c>
      <c r="D106" s="2" t="str">
        <f>"9780807895801"</f>
        <v>9780807895801</v>
      </c>
      <c r="E106" s="2">
        <v>515687</v>
      </c>
    </row>
    <row r="107" spans="1:5" x14ac:dyDescent="0.25">
      <c r="A107" s="4">
        <v>41994.899097222224</v>
      </c>
      <c r="B107" s="2" t="s">
        <v>1250</v>
      </c>
      <c r="C107" s="2" t="s">
        <v>63</v>
      </c>
      <c r="D107" s="2" t="str">
        <f>"9781400842421"</f>
        <v>9781400842421</v>
      </c>
      <c r="E107" s="2">
        <v>842864</v>
      </c>
    </row>
    <row r="108" spans="1:5" x14ac:dyDescent="0.25">
      <c r="A108" s="4">
        <v>41928.924432870372</v>
      </c>
      <c r="B108" s="2" t="s">
        <v>3188</v>
      </c>
      <c r="C108" s="2" t="s">
        <v>26</v>
      </c>
      <c r="D108" s="2" t="str">
        <f>"9781118160497"</f>
        <v>9781118160497</v>
      </c>
      <c r="E108" s="2">
        <v>817386</v>
      </c>
    </row>
    <row r="109" spans="1:5" x14ac:dyDescent="0.25">
      <c r="A109" s="4">
        <v>43230.469687500001</v>
      </c>
      <c r="B109" s="2" t="s">
        <v>29</v>
      </c>
      <c r="C109" s="2" t="s">
        <v>30</v>
      </c>
      <c r="D109" s="2" t="str">
        <f>"9781469633336"</f>
        <v>9781469633336</v>
      </c>
      <c r="E109" s="2">
        <v>4862935</v>
      </c>
    </row>
    <row r="110" spans="1:5" x14ac:dyDescent="0.25">
      <c r="A110" s="4">
        <v>41994.899131944447</v>
      </c>
      <c r="B110" s="2" t="s">
        <v>1115</v>
      </c>
      <c r="C110" s="2" t="s">
        <v>63</v>
      </c>
      <c r="D110" s="2" t="str">
        <f>"9781400848485"</f>
        <v>9781400848485</v>
      </c>
      <c r="E110" s="2">
        <v>1543266</v>
      </c>
    </row>
    <row r="111" spans="1:5" x14ac:dyDescent="0.25">
      <c r="A111" s="4">
        <v>41994.899108796293</v>
      </c>
      <c r="B111" s="2" t="s">
        <v>1237</v>
      </c>
      <c r="C111" s="2" t="s">
        <v>63</v>
      </c>
      <c r="D111" s="2" t="str">
        <f>"9781400842162"</f>
        <v>9781400842162</v>
      </c>
      <c r="E111" s="2">
        <v>868304</v>
      </c>
    </row>
    <row r="112" spans="1:5" x14ac:dyDescent="0.25">
      <c r="A112" s="4">
        <v>41994.901956018519</v>
      </c>
      <c r="B112" s="2" t="s">
        <v>854</v>
      </c>
      <c r="C112" s="2" t="s">
        <v>119</v>
      </c>
      <c r="D112" s="2" t="str">
        <f>"9780520950177"</f>
        <v>9780520950177</v>
      </c>
      <c r="E112" s="2">
        <v>730039</v>
      </c>
    </row>
    <row r="113" spans="1:5" x14ac:dyDescent="0.25">
      <c r="A113" s="4">
        <v>41912.58861111111</v>
      </c>
      <c r="B113" s="2" t="s">
        <v>3559</v>
      </c>
      <c r="C113" s="2" t="s">
        <v>26</v>
      </c>
      <c r="D113" s="2" t="str">
        <f>"9781444312706"</f>
        <v>9781444312706</v>
      </c>
      <c r="E113" s="2">
        <v>428130</v>
      </c>
    </row>
    <row r="114" spans="1:5" x14ac:dyDescent="0.25">
      <c r="A114" s="4">
        <v>41976.65388888889</v>
      </c>
      <c r="B114" s="2" t="s">
        <v>2653</v>
      </c>
      <c r="C114" s="2" t="s">
        <v>26</v>
      </c>
      <c r="D114" s="2" t="str">
        <f>"9780470718667"</f>
        <v>9780470718667</v>
      </c>
      <c r="E114" s="2">
        <v>703935</v>
      </c>
    </row>
    <row r="115" spans="1:5" x14ac:dyDescent="0.25">
      <c r="A115" s="4">
        <v>42878.571527777778</v>
      </c>
      <c r="B115" s="2" t="s">
        <v>142</v>
      </c>
      <c r="C115" s="2" t="s">
        <v>96</v>
      </c>
      <c r="D115" s="2" t="str">
        <f>"9781469623344"</f>
        <v>9781469623344</v>
      </c>
      <c r="E115" s="2">
        <v>4322240</v>
      </c>
    </row>
    <row r="116" spans="1:5" x14ac:dyDescent="0.25">
      <c r="A116" s="4">
        <v>41921.81459490741</v>
      </c>
      <c r="B116" s="2" t="s">
        <v>3331</v>
      </c>
      <c r="C116" s="2" t="s">
        <v>119</v>
      </c>
      <c r="D116" s="2" t="str">
        <f>"9780520907928"</f>
        <v>9780520907928</v>
      </c>
      <c r="E116" s="2">
        <v>470868</v>
      </c>
    </row>
    <row r="117" spans="1:5" x14ac:dyDescent="0.25">
      <c r="A117" s="4">
        <v>41994.889826388891</v>
      </c>
      <c r="B117" s="2" t="s">
        <v>1925</v>
      </c>
      <c r="C117" s="2" t="s">
        <v>72</v>
      </c>
      <c r="D117" s="2" t="str">
        <f>"9780748630400"</f>
        <v>9780748630400</v>
      </c>
      <c r="E117" s="2">
        <v>320448</v>
      </c>
    </row>
    <row r="118" spans="1:5" x14ac:dyDescent="0.25">
      <c r="A118" s="4">
        <v>41915.499918981484</v>
      </c>
      <c r="B118" s="2" t="s">
        <v>3496</v>
      </c>
      <c r="C118" s="2" t="s">
        <v>63</v>
      </c>
      <c r="D118" s="2" t="str">
        <f>"9781400845989"</f>
        <v>9781400845989</v>
      </c>
      <c r="E118" s="2">
        <v>1186367</v>
      </c>
    </row>
    <row r="119" spans="1:5" x14ac:dyDescent="0.25">
      <c r="A119" s="4">
        <v>41994.902025462965</v>
      </c>
      <c r="B119" s="2" t="s">
        <v>634</v>
      </c>
      <c r="C119" s="2" t="s">
        <v>119</v>
      </c>
      <c r="D119" s="2" t="str">
        <f>"9780520958654"</f>
        <v>9780520958654</v>
      </c>
      <c r="E119" s="2">
        <v>1711049</v>
      </c>
    </row>
    <row r="120" spans="1:5" x14ac:dyDescent="0.25">
      <c r="A120" s="4">
        <v>41994.901944444442</v>
      </c>
      <c r="B120" s="2" t="s">
        <v>916</v>
      </c>
      <c r="C120" s="2" t="s">
        <v>119</v>
      </c>
      <c r="D120" s="2" t="str">
        <f>"9780520945692"</f>
        <v>9780520945692</v>
      </c>
      <c r="E120" s="2">
        <v>566757</v>
      </c>
    </row>
    <row r="121" spans="1:5" x14ac:dyDescent="0.25">
      <c r="A121" s="4">
        <v>41891.344143518516</v>
      </c>
      <c r="B121" s="2" t="s">
        <v>3894</v>
      </c>
      <c r="C121" s="2" t="s">
        <v>26</v>
      </c>
      <c r="D121" s="2" t="str">
        <f>"9780470614761"</f>
        <v>9780470614761</v>
      </c>
      <c r="E121" s="2">
        <v>468650</v>
      </c>
    </row>
    <row r="122" spans="1:5" x14ac:dyDescent="0.25">
      <c r="A122" s="4">
        <v>41994.892928240741</v>
      </c>
      <c r="B122" s="2" t="s">
        <v>1693</v>
      </c>
      <c r="C122" s="2" t="s">
        <v>16</v>
      </c>
      <c r="D122" s="2" t="str">
        <f>"9781462503148"</f>
        <v>9781462503148</v>
      </c>
      <c r="E122" s="2">
        <v>862680</v>
      </c>
    </row>
    <row r="123" spans="1:5" x14ac:dyDescent="0.25">
      <c r="A123" s="4">
        <v>41919.53802083333</v>
      </c>
      <c r="B123" s="2" t="s">
        <v>3397</v>
      </c>
      <c r="C123" s="2" t="s">
        <v>36</v>
      </c>
      <c r="D123" s="2" t="str">
        <f>"9780786460007"</f>
        <v>9780786460007</v>
      </c>
      <c r="E123" s="2">
        <v>578773</v>
      </c>
    </row>
    <row r="124" spans="1:5" x14ac:dyDescent="0.25">
      <c r="A124" s="4">
        <v>41976.560879629629</v>
      </c>
      <c r="B124" s="2" t="s">
        <v>2683</v>
      </c>
      <c r="C124" s="2" t="s">
        <v>63</v>
      </c>
      <c r="D124" s="2" t="str">
        <f>"9781400824670"</f>
        <v>9781400824670</v>
      </c>
      <c r="E124" s="2">
        <v>617327</v>
      </c>
    </row>
    <row r="125" spans="1:5" x14ac:dyDescent="0.25">
      <c r="A125" s="4">
        <v>41906.714224537034</v>
      </c>
      <c r="B125" s="2" t="s">
        <v>3704</v>
      </c>
      <c r="C125" s="2" t="s">
        <v>7</v>
      </c>
      <c r="D125" s="2" t="str">
        <f>"9781452209821"</f>
        <v>9781452209821</v>
      </c>
      <c r="E125" s="2">
        <v>1104921</v>
      </c>
    </row>
    <row r="126" spans="1:5" x14ac:dyDescent="0.25">
      <c r="A126" s="4">
        <v>41977.827372685184</v>
      </c>
      <c r="B126" s="2" t="s">
        <v>2588</v>
      </c>
      <c r="C126" s="2" t="s">
        <v>18</v>
      </c>
      <c r="D126" s="2" t="str">
        <f>"9781441135117"</f>
        <v>9781441135117</v>
      </c>
      <c r="E126" s="2">
        <v>601907</v>
      </c>
    </row>
    <row r="127" spans="1:5" x14ac:dyDescent="0.25">
      <c r="A127" s="4">
        <v>41976.005995370368</v>
      </c>
      <c r="B127" s="2" t="s">
        <v>2738</v>
      </c>
      <c r="C127" s="2" t="s">
        <v>26</v>
      </c>
      <c r="D127" s="2" t="str">
        <f>"9781444395884"</f>
        <v>9781444395884</v>
      </c>
      <c r="E127" s="2">
        <v>792907</v>
      </c>
    </row>
    <row r="128" spans="1:5" x14ac:dyDescent="0.25">
      <c r="A128" s="4">
        <v>41920.525636574072</v>
      </c>
      <c r="B128" s="2" t="s">
        <v>3368</v>
      </c>
      <c r="C128" s="2" t="s">
        <v>26</v>
      </c>
      <c r="D128" s="2" t="str">
        <f>"9780470392690"</f>
        <v>9780470392690</v>
      </c>
      <c r="E128" s="2">
        <v>353533</v>
      </c>
    </row>
    <row r="129" spans="1:5" x14ac:dyDescent="0.25">
      <c r="A129" s="4">
        <v>41983.785266203704</v>
      </c>
      <c r="B129" s="2" t="s">
        <v>2394</v>
      </c>
      <c r="C129" s="2" t="s">
        <v>160</v>
      </c>
      <c r="D129" s="2" t="str">
        <f>"9780764513329"</f>
        <v>9780764513329</v>
      </c>
      <c r="E129" s="2">
        <v>554994</v>
      </c>
    </row>
    <row r="130" spans="1:5" x14ac:dyDescent="0.25">
      <c r="A130" s="4">
        <v>41933.643703703703</v>
      </c>
      <c r="B130" s="2" t="s">
        <v>3085</v>
      </c>
      <c r="C130" s="2" t="s">
        <v>26</v>
      </c>
      <c r="D130" s="2" t="str">
        <f>"9780470902318"</f>
        <v>9780470902318</v>
      </c>
      <c r="E130" s="2">
        <v>624350</v>
      </c>
    </row>
    <row r="131" spans="1:5" x14ac:dyDescent="0.25">
      <c r="A131" s="4">
        <v>41979.443391203706</v>
      </c>
      <c r="B131" s="2" t="s">
        <v>2546</v>
      </c>
      <c r="C131" s="2" t="s">
        <v>26</v>
      </c>
      <c r="D131" s="2" t="str">
        <f>"9781444343076"</f>
        <v>9781444343076</v>
      </c>
      <c r="E131" s="2">
        <v>698133</v>
      </c>
    </row>
    <row r="132" spans="1:5" x14ac:dyDescent="0.25">
      <c r="A132" s="4">
        <v>41994.884988425925</v>
      </c>
      <c r="B132" s="2" t="s">
        <v>2124</v>
      </c>
      <c r="C132" s="2" t="s">
        <v>74</v>
      </c>
      <c r="D132" s="2" t="str">
        <f>"9781441177254"</f>
        <v>9781441177254</v>
      </c>
      <c r="E132" s="2">
        <v>601824</v>
      </c>
    </row>
    <row r="133" spans="1:5" x14ac:dyDescent="0.25">
      <c r="A133" s="4">
        <v>41994.901979166665</v>
      </c>
      <c r="B133" s="2" t="s">
        <v>794</v>
      </c>
      <c r="C133" s="2" t="s">
        <v>119</v>
      </c>
      <c r="D133" s="2" t="str">
        <f>"9780520949676"</f>
        <v>9780520949676</v>
      </c>
      <c r="E133" s="2">
        <v>868339</v>
      </c>
    </row>
    <row r="134" spans="1:5" x14ac:dyDescent="0.25">
      <c r="A134" s="4">
        <v>41903.567731481482</v>
      </c>
      <c r="B134" s="2" t="s">
        <v>3795</v>
      </c>
      <c r="C134" s="2" t="s">
        <v>160</v>
      </c>
      <c r="D134" s="2" t="str">
        <f>"9780471756026"</f>
        <v>9780471756026</v>
      </c>
      <c r="E134" s="2">
        <v>238517</v>
      </c>
    </row>
    <row r="135" spans="1:5" x14ac:dyDescent="0.25">
      <c r="A135" s="4">
        <v>41935.893009259256</v>
      </c>
      <c r="B135" s="2" t="s">
        <v>3011</v>
      </c>
      <c r="C135" s="2" t="s">
        <v>419</v>
      </c>
      <c r="D135" s="2" t="str">
        <f>"9780764523618"</f>
        <v>9780764523618</v>
      </c>
      <c r="E135" s="2">
        <v>130126</v>
      </c>
    </row>
    <row r="136" spans="1:5" x14ac:dyDescent="0.25">
      <c r="A136" s="4">
        <v>41904.537951388891</v>
      </c>
      <c r="B136" s="2" t="s">
        <v>3775</v>
      </c>
      <c r="C136" s="2" t="s">
        <v>160</v>
      </c>
      <c r="D136" s="2" t="str">
        <f>"9780470527191"</f>
        <v>9780470527191</v>
      </c>
      <c r="E136" s="2">
        <v>448824</v>
      </c>
    </row>
    <row r="137" spans="1:5" x14ac:dyDescent="0.25">
      <c r="A137" s="4">
        <v>41893.885462962964</v>
      </c>
      <c r="B137" s="2" t="s">
        <v>3878</v>
      </c>
      <c r="C137" s="2" t="s">
        <v>160</v>
      </c>
      <c r="D137" s="2" t="str">
        <f>"9781118130841"</f>
        <v>9781118130841</v>
      </c>
      <c r="E137" s="2">
        <v>817299</v>
      </c>
    </row>
    <row r="138" spans="1:5" x14ac:dyDescent="0.25">
      <c r="A138" s="4">
        <v>41922.741886574076</v>
      </c>
      <c r="B138" s="2" t="s">
        <v>3314</v>
      </c>
      <c r="C138" s="2" t="s">
        <v>26</v>
      </c>
      <c r="D138" s="2" t="str">
        <f>"9781118077382"</f>
        <v>9781118077382</v>
      </c>
      <c r="E138" s="2">
        <v>693607</v>
      </c>
    </row>
    <row r="139" spans="1:5" x14ac:dyDescent="0.25">
      <c r="A139" s="4">
        <v>41994.901944444442</v>
      </c>
      <c r="B139" s="2" t="s">
        <v>886</v>
      </c>
      <c r="C139" s="2" t="s">
        <v>119</v>
      </c>
      <c r="D139" s="2" t="str">
        <f>"9780520947443"</f>
        <v>9780520947443</v>
      </c>
      <c r="E139" s="2">
        <v>656354</v>
      </c>
    </row>
    <row r="140" spans="1:5" x14ac:dyDescent="0.25">
      <c r="A140" s="4">
        <v>41899.807187500002</v>
      </c>
      <c r="B140" s="2" t="s">
        <v>3850</v>
      </c>
      <c r="C140" s="2" t="s">
        <v>16</v>
      </c>
      <c r="D140" s="2" t="str">
        <f>"9781462509737"</f>
        <v>9781462509737</v>
      </c>
      <c r="E140" s="2">
        <v>1137441</v>
      </c>
    </row>
    <row r="141" spans="1:5" x14ac:dyDescent="0.25">
      <c r="A141" s="4">
        <v>41912.406608796293</v>
      </c>
      <c r="B141" s="2" t="s">
        <v>3570</v>
      </c>
      <c r="C141" s="2" t="s">
        <v>160</v>
      </c>
      <c r="D141" s="2" t="str">
        <f>"9781118154564"</f>
        <v>9781118154564</v>
      </c>
      <c r="E141" s="2">
        <v>818848</v>
      </c>
    </row>
    <row r="142" spans="1:5" x14ac:dyDescent="0.25">
      <c r="A142" s="4">
        <v>41904.8281712963</v>
      </c>
      <c r="B142" s="2" t="s">
        <v>3762</v>
      </c>
      <c r="C142" s="2" t="s">
        <v>205</v>
      </c>
      <c r="D142" s="2" t="str">
        <f>"9780787985073"</f>
        <v>9780787985073</v>
      </c>
      <c r="E142" s="2">
        <v>255378</v>
      </c>
    </row>
    <row r="143" spans="1:5" x14ac:dyDescent="0.25">
      <c r="A143" s="4">
        <v>41994.885023148148</v>
      </c>
      <c r="B143" s="2" t="s">
        <v>2030</v>
      </c>
      <c r="C143" s="2" t="s">
        <v>74</v>
      </c>
      <c r="D143" s="2" t="str">
        <f>"9781441194558"</f>
        <v>9781441194558</v>
      </c>
      <c r="E143" s="2">
        <v>1158309</v>
      </c>
    </row>
    <row r="144" spans="1:5" x14ac:dyDescent="0.25">
      <c r="A144" s="4">
        <v>41994.885057870371</v>
      </c>
      <c r="B144" s="2" t="s">
        <v>1950</v>
      </c>
      <c r="C144" s="2" t="s">
        <v>74</v>
      </c>
      <c r="D144" s="2" t="str">
        <f>"9781623560584"</f>
        <v>9781623560584</v>
      </c>
      <c r="E144" s="2">
        <v>1688462</v>
      </c>
    </row>
    <row r="145" spans="1:5" x14ac:dyDescent="0.25">
      <c r="A145" s="4">
        <v>41994.885023148148</v>
      </c>
      <c r="B145" s="2" t="s">
        <v>2037</v>
      </c>
      <c r="C145" s="2" t="s">
        <v>18</v>
      </c>
      <c r="D145" s="2" t="str">
        <f>"9781441164278"</f>
        <v>9781441164278</v>
      </c>
      <c r="E145" s="2">
        <v>1113787</v>
      </c>
    </row>
    <row r="146" spans="1:5" x14ac:dyDescent="0.25">
      <c r="A146" s="4">
        <v>41976.496435185189</v>
      </c>
      <c r="B146" s="2" t="s">
        <v>2699</v>
      </c>
      <c r="C146" s="2" t="s">
        <v>26</v>
      </c>
      <c r="D146" s="2" t="str">
        <f>"9781405147507"</f>
        <v>9781405147507</v>
      </c>
      <c r="E146" s="2">
        <v>238354</v>
      </c>
    </row>
    <row r="147" spans="1:5" x14ac:dyDescent="0.25">
      <c r="A147" s="4">
        <v>41884.459953703707</v>
      </c>
      <c r="B147" s="2" t="s">
        <v>3913</v>
      </c>
      <c r="C147" s="2" t="s">
        <v>63</v>
      </c>
      <c r="D147" s="2" t="str">
        <f>"9781400834655"</f>
        <v>9781400834655</v>
      </c>
      <c r="E147" s="2">
        <v>1023692</v>
      </c>
    </row>
    <row r="148" spans="1:5" x14ac:dyDescent="0.25">
      <c r="A148" s="4">
        <v>41981.042037037034</v>
      </c>
      <c r="B148" s="2" t="s">
        <v>2485</v>
      </c>
      <c r="C148" s="2" t="s">
        <v>26</v>
      </c>
      <c r="D148" s="2" t="str">
        <f>"9780471799641"</f>
        <v>9780471799641</v>
      </c>
      <c r="E148" s="2">
        <v>265881</v>
      </c>
    </row>
    <row r="149" spans="1:5" x14ac:dyDescent="0.25">
      <c r="A149" s="4">
        <v>41927.847858796296</v>
      </c>
      <c r="B149" s="2" t="s">
        <v>3209</v>
      </c>
      <c r="C149" s="2" t="s">
        <v>16</v>
      </c>
      <c r="D149" s="2" t="str">
        <f>"9781462516810"</f>
        <v>9781462516810</v>
      </c>
      <c r="E149" s="2">
        <v>1742842</v>
      </c>
    </row>
    <row r="150" spans="1:5" x14ac:dyDescent="0.25">
      <c r="A150" s="4">
        <v>41976.858738425923</v>
      </c>
      <c r="B150" s="2" t="s">
        <v>2632</v>
      </c>
      <c r="C150" s="2" t="s">
        <v>5</v>
      </c>
      <c r="D150" s="2" t="str">
        <f>"9781846427695"</f>
        <v>9781846427695</v>
      </c>
      <c r="E150" s="2">
        <v>350313</v>
      </c>
    </row>
    <row r="151" spans="1:5" x14ac:dyDescent="0.25">
      <c r="A151" s="4">
        <v>41914.850601851853</v>
      </c>
      <c r="B151" s="2" t="s">
        <v>3506</v>
      </c>
      <c r="C151" s="2" t="s">
        <v>26</v>
      </c>
      <c r="D151" s="2" t="str">
        <f>"9780470452776"</f>
        <v>9780470452776</v>
      </c>
      <c r="E151" s="2">
        <v>433714</v>
      </c>
    </row>
    <row r="152" spans="1:5" x14ac:dyDescent="0.25">
      <c r="A152" s="4">
        <v>41877.594641203701</v>
      </c>
      <c r="B152" s="2" t="s">
        <v>3933</v>
      </c>
      <c r="C152" s="2" t="s">
        <v>16</v>
      </c>
      <c r="D152" s="2" t="str">
        <f>"9781462502844"</f>
        <v>9781462502844</v>
      </c>
      <c r="E152" s="2">
        <v>836855</v>
      </c>
    </row>
    <row r="153" spans="1:5" x14ac:dyDescent="0.25">
      <c r="A153" s="4">
        <v>41994.892905092594</v>
      </c>
      <c r="B153" s="2" t="s">
        <v>1758</v>
      </c>
      <c r="C153" s="2" t="s">
        <v>16</v>
      </c>
      <c r="D153" s="2" t="str">
        <f>"9781606230787"</f>
        <v>9781606230787</v>
      </c>
      <c r="E153" s="2">
        <v>465655</v>
      </c>
    </row>
    <row r="154" spans="1:5" x14ac:dyDescent="0.25">
      <c r="A154" s="4">
        <v>41994.908206018517</v>
      </c>
      <c r="B154" s="2" t="s">
        <v>298</v>
      </c>
      <c r="C154" s="2" t="s">
        <v>26</v>
      </c>
      <c r="D154" s="2" t="str">
        <f>"9781444390872"</f>
        <v>9781444390872</v>
      </c>
      <c r="E154" s="2">
        <v>624796</v>
      </c>
    </row>
    <row r="155" spans="1:5" x14ac:dyDescent="0.25">
      <c r="A155" s="4">
        <v>41994.892893518518</v>
      </c>
      <c r="B155" s="2" t="s">
        <v>1786</v>
      </c>
      <c r="C155" s="2" t="s">
        <v>16</v>
      </c>
      <c r="D155" s="2" t="str">
        <f>"9781593858896"</f>
        <v>9781593858896</v>
      </c>
      <c r="E155" s="2">
        <v>330529</v>
      </c>
    </row>
    <row r="156" spans="1:5" x14ac:dyDescent="0.25">
      <c r="A156" s="4">
        <v>41994.889930555553</v>
      </c>
      <c r="B156" s="2" t="s">
        <v>1812</v>
      </c>
      <c r="C156" s="2" t="s">
        <v>72</v>
      </c>
      <c r="D156" s="2" t="str">
        <f>"9780748673308"</f>
        <v>9780748673308</v>
      </c>
      <c r="E156" s="2">
        <v>1698578</v>
      </c>
    </row>
    <row r="157" spans="1:5" x14ac:dyDescent="0.25">
      <c r="A157" s="4">
        <v>41921.589166666665</v>
      </c>
      <c r="B157" s="2" t="s">
        <v>3340</v>
      </c>
      <c r="C157" s="2" t="s">
        <v>7</v>
      </c>
      <c r="D157" s="2" t="str">
        <f>"9781452262178"</f>
        <v>9781452262178</v>
      </c>
      <c r="E157" s="2">
        <v>996649</v>
      </c>
    </row>
    <row r="158" spans="1:5" x14ac:dyDescent="0.25">
      <c r="A158" s="4">
        <v>41994.885011574072</v>
      </c>
      <c r="B158" s="2" t="s">
        <v>2074</v>
      </c>
      <c r="C158" s="2" t="s">
        <v>18</v>
      </c>
      <c r="D158" s="2" t="str">
        <f>"9781441130013"</f>
        <v>9781441130013</v>
      </c>
      <c r="E158" s="2">
        <v>793274</v>
      </c>
    </row>
    <row r="159" spans="1:5" x14ac:dyDescent="0.25">
      <c r="A159" s="4">
        <v>41918.722951388889</v>
      </c>
      <c r="B159" s="2" t="s">
        <v>3421</v>
      </c>
      <c r="C159" s="2" t="s">
        <v>18</v>
      </c>
      <c r="D159" s="2" t="str">
        <f>"9781441180278"</f>
        <v>9781441180278</v>
      </c>
      <c r="E159" s="2">
        <v>1744022</v>
      </c>
    </row>
    <row r="160" spans="1:5" x14ac:dyDescent="0.25">
      <c r="A160" s="4">
        <v>41994.889872685184</v>
      </c>
      <c r="B160" s="2" t="s">
        <v>1880</v>
      </c>
      <c r="C160" s="2" t="s">
        <v>72</v>
      </c>
      <c r="D160" s="2" t="str">
        <f>"9780748630066"</f>
        <v>9780748630066</v>
      </c>
      <c r="E160" s="2">
        <v>624264</v>
      </c>
    </row>
    <row r="161" spans="1:5" x14ac:dyDescent="0.25">
      <c r="A161" s="4">
        <v>41984.73642361111</v>
      </c>
      <c r="B161" s="2" t="s">
        <v>2353</v>
      </c>
      <c r="C161" s="2" t="s">
        <v>74</v>
      </c>
      <c r="D161" s="2" t="str">
        <f>"9781441118264"</f>
        <v>9781441118264</v>
      </c>
      <c r="E161" s="2">
        <v>1099532</v>
      </c>
    </row>
    <row r="162" spans="1:5" x14ac:dyDescent="0.25">
      <c r="A162" s="4">
        <v>41908.437847222223</v>
      </c>
      <c r="B162" s="2" t="s">
        <v>3654</v>
      </c>
      <c r="C162" s="2" t="s">
        <v>63</v>
      </c>
      <c r="D162" s="2" t="str">
        <f>"9781400844821"</f>
        <v>9781400844821</v>
      </c>
      <c r="E162" s="2">
        <v>920559</v>
      </c>
    </row>
    <row r="163" spans="1:5" x14ac:dyDescent="0.25">
      <c r="A163" s="4">
        <v>41925.704930555556</v>
      </c>
      <c r="B163" s="2" t="s">
        <v>3271</v>
      </c>
      <c r="C163" s="2" t="s">
        <v>28</v>
      </c>
      <c r="D163" s="2" t="str">
        <f>"9780253112187"</f>
        <v>9780253112187</v>
      </c>
      <c r="E163" s="2">
        <v>297552</v>
      </c>
    </row>
    <row r="164" spans="1:5" x14ac:dyDescent="0.25">
      <c r="A164" s="4">
        <v>41994.896145833336</v>
      </c>
      <c r="B164" s="2" t="s">
        <v>1511</v>
      </c>
      <c r="C164" s="2" t="s">
        <v>28</v>
      </c>
      <c r="D164" s="2" t="str">
        <f>"9780253007032"</f>
        <v>9780253007032</v>
      </c>
      <c r="E164" s="2">
        <v>816868</v>
      </c>
    </row>
    <row r="165" spans="1:5" x14ac:dyDescent="0.25">
      <c r="A165" s="4">
        <v>41994.892893518518</v>
      </c>
      <c r="B165" s="2" t="s">
        <v>1785</v>
      </c>
      <c r="C165" s="2" t="s">
        <v>16</v>
      </c>
      <c r="D165" s="2" t="str">
        <f>"9781593856830"</f>
        <v>9781593856830</v>
      </c>
      <c r="E165" s="2">
        <v>330532</v>
      </c>
    </row>
    <row r="166" spans="1:5" x14ac:dyDescent="0.25">
      <c r="A166" s="4">
        <v>41974.872361111113</v>
      </c>
      <c r="B166" s="2" t="s">
        <v>2901</v>
      </c>
      <c r="C166" s="2" t="s">
        <v>72</v>
      </c>
      <c r="D166" s="2" t="str">
        <f>"9780748637164"</f>
        <v>9780748637164</v>
      </c>
      <c r="E166" s="2">
        <v>624263</v>
      </c>
    </row>
    <row r="167" spans="1:5" x14ac:dyDescent="0.25">
      <c r="A167" s="4">
        <v>41926.928252314814</v>
      </c>
      <c r="B167" s="2" t="s">
        <v>3231</v>
      </c>
      <c r="C167" s="2" t="s">
        <v>26</v>
      </c>
      <c r="D167" s="2" t="str">
        <f>"9781444310771"</f>
        <v>9781444310771</v>
      </c>
      <c r="E167" s="2">
        <v>700612</v>
      </c>
    </row>
    <row r="168" spans="1:5" x14ac:dyDescent="0.25">
      <c r="A168" s="4">
        <v>43139.668437499997</v>
      </c>
      <c r="B168" s="2" t="s">
        <v>108</v>
      </c>
      <c r="C168" s="2" t="s">
        <v>36</v>
      </c>
      <c r="D168" s="2" t="str">
        <f>"9781476630472"</f>
        <v>9781476630472</v>
      </c>
      <c r="E168" s="2">
        <v>5117041</v>
      </c>
    </row>
    <row r="169" spans="1:5" x14ac:dyDescent="0.25">
      <c r="A169" s="4">
        <v>41994.896134259259</v>
      </c>
      <c r="B169" s="2" t="s">
        <v>1538</v>
      </c>
      <c r="C169" s="2" t="s">
        <v>28</v>
      </c>
      <c r="D169" s="2" t="str">
        <f>"9780253001337"</f>
        <v>9780253001337</v>
      </c>
      <c r="E169" s="2">
        <v>713672</v>
      </c>
    </row>
    <row r="170" spans="1:5" x14ac:dyDescent="0.25">
      <c r="A170" s="4">
        <v>41923.862835648149</v>
      </c>
      <c r="B170" s="2" t="s">
        <v>3300</v>
      </c>
      <c r="C170" s="2" t="s">
        <v>18</v>
      </c>
      <c r="D170" s="2" t="str">
        <f>"9780857858207"</f>
        <v>9780857858207</v>
      </c>
      <c r="E170" s="2">
        <v>1334386</v>
      </c>
    </row>
    <row r="171" spans="1:5" x14ac:dyDescent="0.25">
      <c r="A171" s="4">
        <v>41994.896134259259</v>
      </c>
      <c r="B171" s="2" t="s">
        <v>1517</v>
      </c>
      <c r="C171" s="2" t="s">
        <v>28</v>
      </c>
      <c r="D171" s="2" t="str">
        <f>"9780253005823"</f>
        <v>9780253005823</v>
      </c>
      <c r="E171" s="2">
        <v>816849</v>
      </c>
    </row>
    <row r="172" spans="1:5" x14ac:dyDescent="0.25">
      <c r="A172" s="4">
        <v>41988.442488425928</v>
      </c>
      <c r="B172" s="2" t="s">
        <v>2295</v>
      </c>
      <c r="C172" s="2" t="s">
        <v>72</v>
      </c>
      <c r="D172" s="2" t="str">
        <f>"9780748628063"</f>
        <v>9780748628063</v>
      </c>
      <c r="E172" s="2">
        <v>271890</v>
      </c>
    </row>
    <row r="173" spans="1:5" x14ac:dyDescent="0.25">
      <c r="A173" s="4">
        <v>41994.878750000003</v>
      </c>
      <c r="B173" s="2" t="s">
        <v>2215</v>
      </c>
      <c r="C173" s="2" t="s">
        <v>2170</v>
      </c>
      <c r="D173" s="2" t="str">
        <f>"9781848131170"</f>
        <v>9781848131170</v>
      </c>
      <c r="E173" s="2">
        <v>339221</v>
      </c>
    </row>
    <row r="174" spans="1:5" x14ac:dyDescent="0.25">
      <c r="A174" s="4">
        <v>41994.878738425927</v>
      </c>
      <c r="B174" s="2" t="s">
        <v>2217</v>
      </c>
      <c r="C174" s="2" t="s">
        <v>2170</v>
      </c>
      <c r="D174" s="2" t="str">
        <f>"9781848130494"</f>
        <v>9781848130494</v>
      </c>
      <c r="E174" s="2">
        <v>339215</v>
      </c>
    </row>
    <row r="175" spans="1:5" x14ac:dyDescent="0.25">
      <c r="A175" s="4">
        <v>41994.896134259259</v>
      </c>
      <c r="B175" s="2" t="s">
        <v>1516</v>
      </c>
      <c r="C175" s="2" t="s">
        <v>28</v>
      </c>
      <c r="D175" s="2" t="str">
        <f>"9780253005830"</f>
        <v>9780253005830</v>
      </c>
      <c r="E175" s="2">
        <v>816850</v>
      </c>
    </row>
    <row r="176" spans="1:5" x14ac:dyDescent="0.25">
      <c r="A176" s="4">
        <v>41977.579259259262</v>
      </c>
      <c r="B176" s="2" t="s">
        <v>2607</v>
      </c>
      <c r="C176" s="2" t="s">
        <v>28</v>
      </c>
      <c r="D176" s="2" t="str">
        <f>"9780253109859"</f>
        <v>9780253109859</v>
      </c>
      <c r="E176" s="2">
        <v>153385</v>
      </c>
    </row>
    <row r="177" spans="1:5" x14ac:dyDescent="0.25">
      <c r="A177" s="4">
        <v>41994.878761574073</v>
      </c>
      <c r="B177" s="2" t="s">
        <v>2182</v>
      </c>
      <c r="C177" s="2" t="s">
        <v>2170</v>
      </c>
      <c r="D177" s="2" t="str">
        <f>"9781780329444"</f>
        <v>9781780329444</v>
      </c>
      <c r="E177" s="2">
        <v>1595474</v>
      </c>
    </row>
    <row r="178" spans="1:5" x14ac:dyDescent="0.25">
      <c r="A178" s="4">
        <v>41974.766365740739</v>
      </c>
      <c r="B178" s="2" t="s">
        <v>2917</v>
      </c>
      <c r="C178" s="2" t="s">
        <v>63</v>
      </c>
      <c r="D178" s="2" t="str">
        <f>"9781400845149"</f>
        <v>9781400845149</v>
      </c>
      <c r="E178" s="2">
        <v>999949</v>
      </c>
    </row>
    <row r="179" spans="1:5" x14ac:dyDescent="0.25">
      <c r="A179" s="4">
        <v>41982.498229166667</v>
      </c>
      <c r="B179" s="2" t="s">
        <v>2439</v>
      </c>
      <c r="C179" s="2" t="s">
        <v>63</v>
      </c>
      <c r="D179" s="2" t="str">
        <f>"9781400848492"</f>
        <v>9781400848492</v>
      </c>
      <c r="E179" s="2">
        <v>1489940</v>
      </c>
    </row>
    <row r="180" spans="1:5" x14ac:dyDescent="0.25">
      <c r="A180" s="4">
        <v>41994.89912037037</v>
      </c>
      <c r="B180" s="2" t="s">
        <v>1182</v>
      </c>
      <c r="C180" s="2" t="s">
        <v>63</v>
      </c>
      <c r="D180" s="2" t="str">
        <f>"9781400845996"</f>
        <v>9781400845996</v>
      </c>
      <c r="E180" s="2">
        <v>1114881</v>
      </c>
    </row>
    <row r="181" spans="1:5" x14ac:dyDescent="0.25">
      <c r="A181" s="4">
        <v>41994.899062500001</v>
      </c>
      <c r="B181" s="2" t="s">
        <v>1359</v>
      </c>
      <c r="C181" s="2" t="s">
        <v>63</v>
      </c>
      <c r="D181" s="2" t="str">
        <f>"9781400821440"</f>
        <v>9781400821440</v>
      </c>
      <c r="E181" s="2">
        <v>581643</v>
      </c>
    </row>
    <row r="182" spans="1:5" x14ac:dyDescent="0.25">
      <c r="A182" s="4">
        <v>41975.851886574077</v>
      </c>
      <c r="B182" s="2" t="s">
        <v>2771</v>
      </c>
      <c r="C182" s="2" t="s">
        <v>160</v>
      </c>
      <c r="D182" s="2" t="str">
        <f>"9781444396461"</f>
        <v>9781444396461</v>
      </c>
      <c r="E182" s="2">
        <v>693779</v>
      </c>
    </row>
    <row r="183" spans="1:5" x14ac:dyDescent="0.25">
      <c r="A183" s="4">
        <v>41994.905636574076</v>
      </c>
      <c r="B183" s="2" t="s">
        <v>426</v>
      </c>
      <c r="C183" s="2" t="s">
        <v>424</v>
      </c>
      <c r="D183" s="2" t="str">
        <f>"9781469617343"</f>
        <v>9781469617343</v>
      </c>
      <c r="E183" s="2">
        <v>1774391</v>
      </c>
    </row>
    <row r="184" spans="1:5" x14ac:dyDescent="0.25">
      <c r="A184" s="4">
        <v>41974.417615740742</v>
      </c>
      <c r="B184" s="2" t="s">
        <v>2989</v>
      </c>
      <c r="C184" s="2" t="s">
        <v>63</v>
      </c>
      <c r="D184" s="2" t="str">
        <f>"9781400841493"</f>
        <v>9781400841493</v>
      </c>
      <c r="E184" s="2">
        <v>804871</v>
      </c>
    </row>
    <row r="185" spans="1:5" x14ac:dyDescent="0.25">
      <c r="A185" s="4">
        <v>41989.443495370368</v>
      </c>
      <c r="B185" s="2" t="s">
        <v>2263</v>
      </c>
      <c r="C185" s="2" t="s">
        <v>63</v>
      </c>
      <c r="D185" s="2" t="str">
        <f>"9781400840014"</f>
        <v>9781400840014</v>
      </c>
      <c r="E185" s="2">
        <v>787349</v>
      </c>
    </row>
    <row r="186" spans="1:5" x14ac:dyDescent="0.25">
      <c r="A186" s="4">
        <v>41976.500868055555</v>
      </c>
      <c r="B186" s="2" t="s">
        <v>2697</v>
      </c>
      <c r="C186" s="2" t="s">
        <v>63</v>
      </c>
      <c r="D186" s="2" t="str">
        <f>"9781400844869"</f>
        <v>9781400844869</v>
      </c>
      <c r="E186" s="2">
        <v>999945</v>
      </c>
    </row>
    <row r="187" spans="1:5" x14ac:dyDescent="0.25">
      <c r="A187" s="4">
        <v>41994.89912037037</v>
      </c>
      <c r="B187" s="2" t="s">
        <v>1163</v>
      </c>
      <c r="C187" s="2" t="s">
        <v>63</v>
      </c>
      <c r="D187" s="2" t="str">
        <f>"9781400843237"</f>
        <v>9781400843237</v>
      </c>
      <c r="E187" s="2">
        <v>1181174</v>
      </c>
    </row>
    <row r="188" spans="1:5" x14ac:dyDescent="0.25">
      <c r="A188" s="4">
        <v>43139.668437499997</v>
      </c>
      <c r="B188" s="2" t="s">
        <v>109</v>
      </c>
      <c r="C188" s="2" t="s">
        <v>36</v>
      </c>
      <c r="D188" s="2" t="str">
        <f>"9781476605364"</f>
        <v>9781476605364</v>
      </c>
      <c r="E188" s="2">
        <v>1987703</v>
      </c>
    </row>
    <row r="189" spans="1:5" x14ac:dyDescent="0.25">
      <c r="A189" s="4">
        <v>41994.889918981484</v>
      </c>
      <c r="B189" s="2" t="s">
        <v>1848</v>
      </c>
      <c r="C189" s="2" t="s">
        <v>72</v>
      </c>
      <c r="D189" s="2" t="str">
        <f>"9780748643950"</f>
        <v>9780748643950</v>
      </c>
      <c r="E189" s="2">
        <v>951321</v>
      </c>
    </row>
    <row r="190" spans="1:5" x14ac:dyDescent="0.25">
      <c r="A190" s="4">
        <v>41978.723645833335</v>
      </c>
      <c r="B190" s="2" t="s">
        <v>2557</v>
      </c>
      <c r="C190" s="2" t="s">
        <v>72</v>
      </c>
      <c r="D190" s="2" t="str">
        <f>"9780748676224"</f>
        <v>9780748676224</v>
      </c>
      <c r="E190" s="2">
        <v>1698580</v>
      </c>
    </row>
    <row r="191" spans="1:5" x14ac:dyDescent="0.25">
      <c r="A191" s="4">
        <v>41994.905636574076</v>
      </c>
      <c r="B191" s="2" t="s">
        <v>435</v>
      </c>
      <c r="C191" s="2" t="s">
        <v>96</v>
      </c>
      <c r="D191" s="2" t="str">
        <f>"9781469611631"</f>
        <v>9781469611631</v>
      </c>
      <c r="E191" s="2">
        <v>1675886</v>
      </c>
    </row>
    <row r="192" spans="1:5" x14ac:dyDescent="0.25">
      <c r="A192" s="4">
        <v>41994.885034722225</v>
      </c>
      <c r="B192" s="2" t="s">
        <v>2008</v>
      </c>
      <c r="C192" s="2" t="s">
        <v>18</v>
      </c>
      <c r="D192" s="2" t="str">
        <f>"9780857852953"</f>
        <v>9780857852953</v>
      </c>
      <c r="E192" s="2">
        <v>1274364</v>
      </c>
    </row>
    <row r="193" spans="1:5" x14ac:dyDescent="0.25">
      <c r="A193" s="4">
        <v>41994.899131944447</v>
      </c>
      <c r="B193" s="2" t="s">
        <v>1114</v>
      </c>
      <c r="C193" s="2" t="s">
        <v>63</v>
      </c>
      <c r="D193" s="2" t="str">
        <f>"9781400848256"</f>
        <v>9781400848256</v>
      </c>
      <c r="E193" s="2">
        <v>1561554</v>
      </c>
    </row>
    <row r="194" spans="1:5" x14ac:dyDescent="0.25">
      <c r="A194" s="4">
        <v>41994.905624999999</v>
      </c>
      <c r="B194" s="2" t="s">
        <v>455</v>
      </c>
      <c r="C194" s="2" t="s">
        <v>96</v>
      </c>
      <c r="D194" s="2" t="str">
        <f>"9781469616698"</f>
        <v>9781469616698</v>
      </c>
      <c r="E194" s="2">
        <v>1663487</v>
      </c>
    </row>
    <row r="195" spans="1:5" x14ac:dyDescent="0.25">
      <c r="A195" s="4">
        <v>41994.90556712963</v>
      </c>
      <c r="B195" s="2" t="s">
        <v>618</v>
      </c>
      <c r="C195" s="2" t="s">
        <v>424</v>
      </c>
      <c r="D195" s="2" t="str">
        <f>"9780807875834"</f>
        <v>9780807875834</v>
      </c>
      <c r="E195" s="2">
        <v>413298</v>
      </c>
    </row>
    <row r="196" spans="1:5" x14ac:dyDescent="0.25">
      <c r="A196" s="4">
        <v>41994.905613425923</v>
      </c>
      <c r="B196" s="2" t="s">
        <v>505</v>
      </c>
      <c r="C196" s="2" t="s">
        <v>424</v>
      </c>
      <c r="D196" s="2" t="str">
        <f>"9781469606781"</f>
        <v>9781469606781</v>
      </c>
      <c r="E196" s="2">
        <v>934371</v>
      </c>
    </row>
    <row r="197" spans="1:5" x14ac:dyDescent="0.25">
      <c r="A197" s="4">
        <v>41974.518993055557</v>
      </c>
      <c r="B197" s="2" t="s">
        <v>2967</v>
      </c>
      <c r="C197" s="2" t="s">
        <v>63</v>
      </c>
      <c r="D197" s="2" t="str">
        <f>"9781400851058"</f>
        <v>9781400851058</v>
      </c>
      <c r="E197" s="2">
        <v>1582862</v>
      </c>
    </row>
    <row r="198" spans="1:5" x14ac:dyDescent="0.25">
      <c r="A198" s="4">
        <v>41994.896134259259</v>
      </c>
      <c r="B198" s="2" t="s">
        <v>1528</v>
      </c>
      <c r="C198" s="2" t="s">
        <v>28</v>
      </c>
      <c r="D198" s="2" t="str">
        <f>"9780253001689"</f>
        <v>9780253001689</v>
      </c>
      <c r="E198" s="2">
        <v>731394</v>
      </c>
    </row>
    <row r="199" spans="1:5" x14ac:dyDescent="0.25">
      <c r="A199" s="4">
        <v>41906.861631944441</v>
      </c>
      <c r="B199" s="2" t="s">
        <v>3702</v>
      </c>
      <c r="C199" s="2" t="s">
        <v>63</v>
      </c>
      <c r="D199" s="2" t="str">
        <f>"9781400850990"</f>
        <v>9781400850990</v>
      </c>
      <c r="E199" s="2">
        <v>1573470</v>
      </c>
    </row>
    <row r="200" spans="1:5" x14ac:dyDescent="0.25">
      <c r="A200" s="4">
        <v>41930.564398148148</v>
      </c>
      <c r="B200" s="2" t="s">
        <v>3156</v>
      </c>
      <c r="C200" s="2" t="s">
        <v>96</v>
      </c>
      <c r="D200" s="2" t="str">
        <f>"9781469617626"</f>
        <v>9781469617626</v>
      </c>
      <c r="E200" s="2">
        <v>1663561</v>
      </c>
    </row>
    <row r="201" spans="1:5" x14ac:dyDescent="0.25">
      <c r="A201" s="4">
        <v>41974.90965277778</v>
      </c>
      <c r="B201" s="2" t="s">
        <v>2893</v>
      </c>
      <c r="C201" s="2" t="s">
        <v>119</v>
      </c>
      <c r="D201" s="2" t="str">
        <f>"9780520954694"</f>
        <v>9780520954694</v>
      </c>
      <c r="E201" s="2">
        <v>1132027</v>
      </c>
    </row>
    <row r="202" spans="1:5" x14ac:dyDescent="0.25">
      <c r="A202" s="4">
        <v>41974.537685185183</v>
      </c>
      <c r="B202" s="2" t="s">
        <v>2964</v>
      </c>
      <c r="C202" s="2" t="s">
        <v>26</v>
      </c>
      <c r="D202" s="2" t="str">
        <f>"9781444360158"</f>
        <v>9781444360158</v>
      </c>
      <c r="E202" s="2">
        <v>819448</v>
      </c>
    </row>
    <row r="203" spans="1:5" x14ac:dyDescent="0.25">
      <c r="A203" s="4">
        <v>41994.899108796293</v>
      </c>
      <c r="B203" s="2" t="s">
        <v>1239</v>
      </c>
      <c r="C203" s="2" t="s">
        <v>63</v>
      </c>
      <c r="D203" s="2" t="str">
        <f>"9781400834860"</f>
        <v>9781400834860</v>
      </c>
      <c r="E203" s="2">
        <v>867850</v>
      </c>
    </row>
    <row r="204" spans="1:5" x14ac:dyDescent="0.25">
      <c r="A204" s="4">
        <v>41994.885000000002</v>
      </c>
      <c r="B204" s="2" t="s">
        <v>2091</v>
      </c>
      <c r="C204" s="2" t="s">
        <v>74</v>
      </c>
      <c r="D204" s="2" t="str">
        <f>"9781441176998"</f>
        <v>9781441176998</v>
      </c>
      <c r="E204" s="2">
        <v>742405</v>
      </c>
    </row>
    <row r="205" spans="1:5" x14ac:dyDescent="0.25">
      <c r="A205" s="4">
        <v>41988.439768518518</v>
      </c>
      <c r="B205" s="2" t="s">
        <v>2299</v>
      </c>
      <c r="C205" s="2" t="s">
        <v>2170</v>
      </c>
      <c r="D205" s="2" t="str">
        <f>"9781848135352"</f>
        <v>9781848135352</v>
      </c>
      <c r="E205" s="2">
        <v>482402</v>
      </c>
    </row>
    <row r="206" spans="1:5" x14ac:dyDescent="0.25">
      <c r="A206" s="4">
        <v>41974.490659722222</v>
      </c>
      <c r="B206" s="2" t="s">
        <v>2976</v>
      </c>
      <c r="C206" s="2" t="s">
        <v>1934</v>
      </c>
      <c r="D206" s="2" t="str">
        <f>"9781501302695"</f>
        <v>9781501302695</v>
      </c>
      <c r="E206" s="2">
        <v>1745455</v>
      </c>
    </row>
    <row r="207" spans="1:5" x14ac:dyDescent="0.25">
      <c r="A207" s="4">
        <v>41826.748611111114</v>
      </c>
      <c r="B207" s="2" t="s">
        <v>3988</v>
      </c>
      <c r="C207" s="2" t="s">
        <v>5</v>
      </c>
      <c r="D207" s="2" t="str">
        <f>"9781846428401"</f>
        <v>9781846428401</v>
      </c>
      <c r="E207" s="2">
        <v>366686</v>
      </c>
    </row>
    <row r="208" spans="1:5" x14ac:dyDescent="0.25">
      <c r="A208" s="4">
        <v>41907.354791666665</v>
      </c>
      <c r="B208" s="2" t="s">
        <v>3689</v>
      </c>
      <c r="C208" s="2" t="s">
        <v>7</v>
      </c>
      <c r="D208" s="2" t="str">
        <f>"9781452206998"</f>
        <v>9781452206998</v>
      </c>
      <c r="E208" s="2">
        <v>996270</v>
      </c>
    </row>
    <row r="209" spans="1:5" x14ac:dyDescent="0.25">
      <c r="A209" s="4">
        <v>41994.905590277776</v>
      </c>
      <c r="B209" s="2" t="s">
        <v>550</v>
      </c>
      <c r="C209" s="2" t="s">
        <v>96</v>
      </c>
      <c r="D209" s="2" t="str">
        <f>"9780807869246"</f>
        <v>9780807869246</v>
      </c>
      <c r="E209" s="2">
        <v>784957</v>
      </c>
    </row>
    <row r="210" spans="1:5" x14ac:dyDescent="0.25">
      <c r="A210" s="4">
        <v>41994.899131944447</v>
      </c>
      <c r="B210" s="2" t="s">
        <v>1149</v>
      </c>
      <c r="C210" s="2" t="s">
        <v>63</v>
      </c>
      <c r="D210" s="2" t="str">
        <f>"9781400848034"</f>
        <v>9781400848034</v>
      </c>
      <c r="E210" s="2">
        <v>1223118</v>
      </c>
    </row>
    <row r="211" spans="1:5" x14ac:dyDescent="0.25">
      <c r="A211" s="4">
        <v>41994.896134259259</v>
      </c>
      <c r="B211" s="2" t="s">
        <v>1526</v>
      </c>
      <c r="C211" s="2" t="s">
        <v>28</v>
      </c>
      <c r="D211" s="2" t="str">
        <f>"9780253006387"</f>
        <v>9780253006387</v>
      </c>
      <c r="E211" s="2">
        <v>784506</v>
      </c>
    </row>
    <row r="212" spans="1:5" x14ac:dyDescent="0.25">
      <c r="A212" s="4">
        <v>41994.899074074077</v>
      </c>
      <c r="B212" s="2" t="s">
        <v>1347</v>
      </c>
      <c r="C212" s="2" t="s">
        <v>63</v>
      </c>
      <c r="D212" s="2" t="str">
        <f>"9781400835478"</f>
        <v>9781400835478</v>
      </c>
      <c r="E212" s="2">
        <v>617242</v>
      </c>
    </row>
    <row r="213" spans="1:5" x14ac:dyDescent="0.25">
      <c r="A213" s="4">
        <v>41919.890393518515</v>
      </c>
      <c r="B213" s="2" t="s">
        <v>3384</v>
      </c>
      <c r="C213" s="2" t="s">
        <v>7</v>
      </c>
      <c r="D213" s="2" t="str">
        <f>"9781849202909"</f>
        <v>9781849202909</v>
      </c>
      <c r="E213" s="2">
        <v>420918</v>
      </c>
    </row>
    <row r="214" spans="1:5" x14ac:dyDescent="0.25">
      <c r="A214" s="4">
        <v>41913.513715277775</v>
      </c>
      <c r="B214" s="2" t="s">
        <v>3539</v>
      </c>
      <c r="C214" s="2" t="s">
        <v>2404</v>
      </c>
      <c r="D214" s="2" t="str">
        <f>"9780335235261"</f>
        <v>9780335235261</v>
      </c>
      <c r="E214" s="2">
        <v>332729</v>
      </c>
    </row>
    <row r="215" spans="1:5" x14ac:dyDescent="0.25">
      <c r="A215" s="4">
        <v>41994.896122685182</v>
      </c>
      <c r="B215" s="2" t="s">
        <v>1549</v>
      </c>
      <c r="C215" s="2" t="s">
        <v>28</v>
      </c>
      <c r="D215" s="2" t="str">
        <f>"9780253005601"</f>
        <v>9780253005601</v>
      </c>
      <c r="E215" s="2">
        <v>670315</v>
      </c>
    </row>
    <row r="216" spans="1:5" x14ac:dyDescent="0.25">
      <c r="A216" s="4">
        <v>41994.899143518516</v>
      </c>
      <c r="B216" s="2" t="s">
        <v>1078</v>
      </c>
      <c r="C216" s="2" t="s">
        <v>63</v>
      </c>
      <c r="D216" s="2" t="str">
        <f>"9781400851454"</f>
        <v>9781400851454</v>
      </c>
      <c r="E216" s="2">
        <v>1642466</v>
      </c>
    </row>
    <row r="217" spans="1:5" x14ac:dyDescent="0.25">
      <c r="A217" s="4">
        <v>41879.560358796298</v>
      </c>
      <c r="B217" s="2" t="s">
        <v>3926</v>
      </c>
      <c r="C217" s="2" t="s">
        <v>26</v>
      </c>
      <c r="D217" s="2" t="str">
        <f>"9781444357592"</f>
        <v>9781444357592</v>
      </c>
      <c r="E217" s="2">
        <v>819377</v>
      </c>
    </row>
    <row r="218" spans="1:5" x14ac:dyDescent="0.25">
      <c r="A218" s="4">
        <v>41932.443240740744</v>
      </c>
      <c r="B218" s="2" t="s">
        <v>3124</v>
      </c>
      <c r="C218" s="2" t="s">
        <v>36</v>
      </c>
      <c r="D218" s="2" t="str">
        <f>"9781476614885"</f>
        <v>9781476614885</v>
      </c>
      <c r="E218" s="2">
        <v>1650590</v>
      </c>
    </row>
    <row r="219" spans="1:5" x14ac:dyDescent="0.25">
      <c r="A219" s="4">
        <v>41994.889930555553</v>
      </c>
      <c r="B219" s="2" t="s">
        <v>1831</v>
      </c>
      <c r="C219" s="2" t="s">
        <v>72</v>
      </c>
      <c r="D219" s="2" t="str">
        <f>"9780748644629"</f>
        <v>9780748644629</v>
      </c>
      <c r="E219" s="2">
        <v>1126601</v>
      </c>
    </row>
    <row r="220" spans="1:5" x14ac:dyDescent="0.25">
      <c r="A220" s="4">
        <v>41921.720370370371</v>
      </c>
      <c r="B220" s="2" t="s">
        <v>3337</v>
      </c>
      <c r="C220" s="2" t="s">
        <v>63</v>
      </c>
      <c r="D220" s="2" t="str">
        <f>"9781400844173"</f>
        <v>9781400844173</v>
      </c>
      <c r="E220" s="2">
        <v>1565232</v>
      </c>
    </row>
    <row r="221" spans="1:5" x14ac:dyDescent="0.25">
      <c r="A221" s="4">
        <v>41994.905590277776</v>
      </c>
      <c r="B221" s="2" t="s">
        <v>580</v>
      </c>
      <c r="C221" s="2" t="s">
        <v>96</v>
      </c>
      <c r="D221" s="2" t="str">
        <f>"9780807899427"</f>
        <v>9780807899427</v>
      </c>
      <c r="E221" s="2">
        <v>605944</v>
      </c>
    </row>
    <row r="222" spans="1:5" x14ac:dyDescent="0.25">
      <c r="A222" s="4">
        <v>41994.899143518516</v>
      </c>
      <c r="B222" s="2" t="s">
        <v>1092</v>
      </c>
      <c r="C222" s="2" t="s">
        <v>63</v>
      </c>
      <c r="D222" s="2" t="str">
        <f>"9781400850297"</f>
        <v>9781400850297</v>
      </c>
      <c r="E222" s="2">
        <v>1589171</v>
      </c>
    </row>
    <row r="223" spans="1:5" x14ac:dyDescent="0.25">
      <c r="A223" s="4">
        <v>41978.509456018517</v>
      </c>
      <c r="B223" s="2" t="s">
        <v>2573</v>
      </c>
      <c r="C223" s="2" t="s">
        <v>36</v>
      </c>
      <c r="D223" s="2" t="str">
        <f>"9781476616629"</f>
        <v>9781476616629</v>
      </c>
      <c r="E223" s="2">
        <v>1743807</v>
      </c>
    </row>
    <row r="224" spans="1:5" x14ac:dyDescent="0.25">
      <c r="A224" s="4">
        <v>41994.889861111114</v>
      </c>
      <c r="B224" s="2" t="s">
        <v>1912</v>
      </c>
      <c r="C224" s="2" t="s">
        <v>72</v>
      </c>
      <c r="D224" s="2" t="str">
        <f>"9780748630851"</f>
        <v>9780748630851</v>
      </c>
      <c r="E224" s="2">
        <v>434300</v>
      </c>
    </row>
    <row r="225" spans="1:5" x14ac:dyDescent="0.25">
      <c r="A225" s="4">
        <v>41994.889849537038</v>
      </c>
      <c r="B225" s="2" t="s">
        <v>1921</v>
      </c>
      <c r="C225" s="2" t="s">
        <v>72</v>
      </c>
      <c r="D225" s="2" t="str">
        <f>"9780748630349"</f>
        <v>9780748630349</v>
      </c>
      <c r="E225" s="2">
        <v>343572</v>
      </c>
    </row>
    <row r="226" spans="1:5" x14ac:dyDescent="0.25">
      <c r="A226" s="4">
        <v>41994.889826388891</v>
      </c>
      <c r="B226" s="2" t="s">
        <v>1927</v>
      </c>
      <c r="C226" s="2" t="s">
        <v>72</v>
      </c>
      <c r="D226" s="2" t="str">
        <f>"9780748628902"</f>
        <v>9780748628902</v>
      </c>
      <c r="E226" s="2">
        <v>292360</v>
      </c>
    </row>
    <row r="227" spans="1:5" x14ac:dyDescent="0.25">
      <c r="A227" s="4">
        <v>41994.889861111114</v>
      </c>
      <c r="B227" s="2" t="s">
        <v>1911</v>
      </c>
      <c r="C227" s="2" t="s">
        <v>72</v>
      </c>
      <c r="D227" s="2" t="str">
        <f>"9780748631537"</f>
        <v>9780748631537</v>
      </c>
      <c r="E227" s="2">
        <v>434304</v>
      </c>
    </row>
    <row r="228" spans="1:5" x14ac:dyDescent="0.25">
      <c r="A228" s="4">
        <v>41994.889861111114</v>
      </c>
      <c r="B228" s="2" t="s">
        <v>1903</v>
      </c>
      <c r="C228" s="2" t="s">
        <v>72</v>
      </c>
      <c r="D228" s="2" t="str">
        <f>"9780748629664"</f>
        <v>9780748629664</v>
      </c>
      <c r="E228" s="2">
        <v>537002</v>
      </c>
    </row>
    <row r="229" spans="1:5" x14ac:dyDescent="0.25">
      <c r="A229" s="4">
        <v>41994.908148148148</v>
      </c>
      <c r="B229" s="2" t="s">
        <v>416</v>
      </c>
      <c r="C229" s="2" t="s">
        <v>160</v>
      </c>
      <c r="D229" s="2" t="str">
        <f>"9780471430117"</f>
        <v>9780471430117</v>
      </c>
      <c r="E229" s="2">
        <v>142240</v>
      </c>
    </row>
    <row r="230" spans="1:5" x14ac:dyDescent="0.25">
      <c r="A230" s="4">
        <v>41906.625324074077</v>
      </c>
      <c r="B230" s="2" t="s">
        <v>3707</v>
      </c>
      <c r="C230" s="2" t="s">
        <v>7</v>
      </c>
      <c r="D230" s="2" t="str">
        <f>"9781452222561"</f>
        <v>9781452222561</v>
      </c>
      <c r="E230" s="2">
        <v>996327</v>
      </c>
    </row>
    <row r="231" spans="1:5" x14ac:dyDescent="0.25">
      <c r="A231" s="4">
        <v>41927.417962962965</v>
      </c>
      <c r="B231" s="2" t="s">
        <v>3223</v>
      </c>
      <c r="C231" s="2" t="s">
        <v>119</v>
      </c>
      <c r="D231" s="2" t="str">
        <f>"9780520954939"</f>
        <v>9780520954939</v>
      </c>
      <c r="E231" s="2">
        <v>1207483</v>
      </c>
    </row>
    <row r="232" spans="1:5" x14ac:dyDescent="0.25">
      <c r="A232" s="4">
        <v>41980.787372685183</v>
      </c>
      <c r="B232" s="2" t="s">
        <v>2502</v>
      </c>
      <c r="C232" s="2" t="s">
        <v>26</v>
      </c>
      <c r="D232" s="2" t="str">
        <f>"9781118220795"</f>
        <v>9781118220795</v>
      </c>
      <c r="E232" s="2">
        <v>817938</v>
      </c>
    </row>
    <row r="233" spans="1:5" x14ac:dyDescent="0.25">
      <c r="A233" s="4">
        <v>41933.845439814817</v>
      </c>
      <c r="B233" s="2" t="s">
        <v>3075</v>
      </c>
      <c r="C233" s="2" t="s">
        <v>119</v>
      </c>
      <c r="D233" s="2" t="str">
        <f>"9780520939271"</f>
        <v>9780520939271</v>
      </c>
      <c r="E233" s="2">
        <v>224242</v>
      </c>
    </row>
    <row r="234" spans="1:5" x14ac:dyDescent="0.25">
      <c r="A234" s="4">
        <v>41994.901898148149</v>
      </c>
      <c r="B234" s="2" t="s">
        <v>1038</v>
      </c>
      <c r="C234" s="2" t="s">
        <v>119</v>
      </c>
      <c r="D234" s="2" t="str">
        <f>"9780520935655"</f>
        <v>9780520935655</v>
      </c>
      <c r="E234" s="2">
        <v>223035</v>
      </c>
    </row>
    <row r="235" spans="1:5" x14ac:dyDescent="0.25">
      <c r="A235" s="4">
        <v>41994.905613425923</v>
      </c>
      <c r="B235" s="2" t="s">
        <v>490</v>
      </c>
      <c r="C235" s="2" t="s">
        <v>96</v>
      </c>
      <c r="D235" s="2" t="str">
        <f>"9780807837344"</f>
        <v>9780807837344</v>
      </c>
      <c r="E235" s="2">
        <v>1043994</v>
      </c>
    </row>
    <row r="236" spans="1:5" x14ac:dyDescent="0.25">
      <c r="A236" s="4">
        <v>41981.032395833332</v>
      </c>
      <c r="B236" s="2" t="s">
        <v>2488</v>
      </c>
      <c r="C236" s="2" t="s">
        <v>419</v>
      </c>
      <c r="D236" s="2" t="str">
        <f>"9780470072615"</f>
        <v>9780470072615</v>
      </c>
      <c r="E236" s="2">
        <v>261350</v>
      </c>
    </row>
    <row r="237" spans="1:5" x14ac:dyDescent="0.25">
      <c r="A237" s="4">
        <v>41898.791898148149</v>
      </c>
      <c r="B237" s="2" t="s">
        <v>3861</v>
      </c>
      <c r="C237" s="2" t="s">
        <v>63</v>
      </c>
      <c r="D237" s="2" t="str">
        <f>"9781400839957"</f>
        <v>9781400839957</v>
      </c>
      <c r="E237" s="2">
        <v>725841</v>
      </c>
    </row>
    <row r="238" spans="1:5" x14ac:dyDescent="0.25">
      <c r="A238" s="4">
        <v>41820.532569444447</v>
      </c>
      <c r="B238" s="2" t="s">
        <v>3991</v>
      </c>
      <c r="C238" s="2" t="s">
        <v>26</v>
      </c>
      <c r="D238" s="2" t="str">
        <f>"9780470692813"</f>
        <v>9780470692813</v>
      </c>
      <c r="E238" s="2">
        <v>350923</v>
      </c>
    </row>
    <row r="239" spans="1:5" x14ac:dyDescent="0.25">
      <c r="A239" s="4">
        <v>41994.884976851848</v>
      </c>
      <c r="B239" s="2" t="s">
        <v>2150</v>
      </c>
      <c r="C239" s="2" t="s">
        <v>1934</v>
      </c>
      <c r="D239" s="2" t="str">
        <f>"9781847885517"</f>
        <v>9781847885517</v>
      </c>
      <c r="E239" s="2">
        <v>472588</v>
      </c>
    </row>
    <row r="240" spans="1:5" x14ac:dyDescent="0.25">
      <c r="A240" s="4">
        <v>41994.901921296296</v>
      </c>
      <c r="B240" s="2" t="s">
        <v>980</v>
      </c>
      <c r="C240" s="2" t="s">
        <v>119</v>
      </c>
      <c r="D240" s="2" t="str">
        <f>"9780520930049"</f>
        <v>9780520930049</v>
      </c>
      <c r="E240" s="2">
        <v>231902</v>
      </c>
    </row>
    <row r="241" spans="1:5" x14ac:dyDescent="0.25">
      <c r="A241" s="4">
        <v>41994.889930555553</v>
      </c>
      <c r="B241" s="2" t="s">
        <v>1832</v>
      </c>
      <c r="C241" s="2" t="s">
        <v>72</v>
      </c>
      <c r="D241" s="2" t="str">
        <f>"9780748646548"</f>
        <v>9780748646548</v>
      </c>
      <c r="E241" s="2">
        <v>1126599</v>
      </c>
    </row>
    <row r="242" spans="1:5" x14ac:dyDescent="0.25">
      <c r="A242" s="4">
        <v>41859.774907407409</v>
      </c>
      <c r="B242" s="2" t="s">
        <v>3962</v>
      </c>
      <c r="C242" s="2" t="s">
        <v>26</v>
      </c>
      <c r="D242" s="2" t="str">
        <f>"9780470828649"</f>
        <v>9780470828649</v>
      </c>
      <c r="E242" s="2">
        <v>693371</v>
      </c>
    </row>
    <row r="243" spans="1:5" x14ac:dyDescent="0.25">
      <c r="A243" s="4">
        <v>41920.033831018518</v>
      </c>
      <c r="B243" s="2" t="s">
        <v>3381</v>
      </c>
      <c r="C243" s="2" t="s">
        <v>26</v>
      </c>
      <c r="D243" s="2" t="str">
        <f>"9780471463351"</f>
        <v>9780471463351</v>
      </c>
      <c r="E243" s="2">
        <v>152078</v>
      </c>
    </row>
    <row r="244" spans="1:5" x14ac:dyDescent="0.25">
      <c r="A244" s="4">
        <v>41976.408483796295</v>
      </c>
      <c r="B244" s="2" t="s">
        <v>2719</v>
      </c>
      <c r="C244" s="2" t="s">
        <v>63</v>
      </c>
      <c r="D244" s="2" t="str">
        <f>"9781400826438"</f>
        <v>9781400826438</v>
      </c>
      <c r="E244" s="2">
        <v>457857</v>
      </c>
    </row>
    <row r="245" spans="1:5" x14ac:dyDescent="0.25">
      <c r="A245" s="4">
        <v>41994.896145833336</v>
      </c>
      <c r="B245" s="2" t="s">
        <v>1498</v>
      </c>
      <c r="C245" s="2" t="s">
        <v>28</v>
      </c>
      <c r="D245" s="2" t="str">
        <f>"9780253007544"</f>
        <v>9780253007544</v>
      </c>
      <c r="E245" s="2">
        <v>1025596</v>
      </c>
    </row>
    <row r="246" spans="1:5" x14ac:dyDescent="0.25">
      <c r="A246" s="4">
        <v>41984.946284722224</v>
      </c>
      <c r="B246" s="2" t="s">
        <v>2348</v>
      </c>
      <c r="C246" s="2" t="s">
        <v>26</v>
      </c>
      <c r="D246" s="2" t="str">
        <f>"9781444320640"</f>
        <v>9781444320640</v>
      </c>
      <c r="E246" s="2">
        <v>496061</v>
      </c>
    </row>
    <row r="247" spans="1:5" x14ac:dyDescent="0.25">
      <c r="A247" s="4">
        <v>41994.901990740742</v>
      </c>
      <c r="B247" s="2" t="s">
        <v>726</v>
      </c>
      <c r="C247" s="2" t="s">
        <v>119</v>
      </c>
      <c r="D247" s="2" t="str">
        <f>"9780520955028"</f>
        <v>9780520955028</v>
      </c>
      <c r="E247" s="2">
        <v>1112139</v>
      </c>
    </row>
    <row r="248" spans="1:5" x14ac:dyDescent="0.25">
      <c r="A248" s="4">
        <v>41994.905578703707</v>
      </c>
      <c r="B248" s="2" t="s">
        <v>587</v>
      </c>
      <c r="C248" s="2" t="s">
        <v>96</v>
      </c>
      <c r="D248" s="2" t="str">
        <f>"9780807899328"</f>
        <v>9780807899328</v>
      </c>
      <c r="E248" s="2">
        <v>605922</v>
      </c>
    </row>
    <row r="249" spans="1:5" x14ac:dyDescent="0.25">
      <c r="A249" s="4">
        <v>41974.994976851849</v>
      </c>
      <c r="B249" s="2" t="s">
        <v>2880</v>
      </c>
      <c r="C249" s="2" t="s">
        <v>26</v>
      </c>
      <c r="D249" s="2" t="str">
        <f>"9781405178600"</f>
        <v>9781405178600</v>
      </c>
      <c r="E249" s="2">
        <v>293094</v>
      </c>
    </row>
    <row r="250" spans="1:5" x14ac:dyDescent="0.25">
      <c r="A250" s="4">
        <v>41994.899085648147</v>
      </c>
      <c r="B250" s="2" t="s">
        <v>1285</v>
      </c>
      <c r="C250" s="2" t="s">
        <v>63</v>
      </c>
      <c r="D250" s="2" t="str">
        <f>"9781400833207"</f>
        <v>9781400833207</v>
      </c>
      <c r="E250" s="2">
        <v>736913</v>
      </c>
    </row>
    <row r="251" spans="1:5" x14ac:dyDescent="0.25">
      <c r="A251" s="4">
        <v>41979.811041666668</v>
      </c>
      <c r="B251" s="2" t="s">
        <v>2529</v>
      </c>
      <c r="C251" s="2" t="s">
        <v>119</v>
      </c>
      <c r="D251" s="2" t="str">
        <f>"9780520941137"</f>
        <v>9780520941137</v>
      </c>
      <c r="E251" s="2">
        <v>470832</v>
      </c>
    </row>
    <row r="252" spans="1:5" x14ac:dyDescent="0.25">
      <c r="A252" s="4">
        <v>41994.908217592594</v>
      </c>
      <c r="B252" s="2" t="s">
        <v>271</v>
      </c>
      <c r="C252" s="2" t="s">
        <v>26</v>
      </c>
      <c r="D252" s="2" t="str">
        <f>"9780470979358"</f>
        <v>9780470979358</v>
      </c>
      <c r="E252" s="2">
        <v>693292</v>
      </c>
    </row>
    <row r="253" spans="1:5" x14ac:dyDescent="0.25">
      <c r="A253" s="4">
        <v>41994.908206018517</v>
      </c>
      <c r="B253" s="2" t="s">
        <v>280</v>
      </c>
      <c r="C253" s="2" t="s">
        <v>26</v>
      </c>
      <c r="D253" s="2" t="str">
        <f>"9781444395976"</f>
        <v>9781444395976</v>
      </c>
      <c r="E253" s="2">
        <v>675204</v>
      </c>
    </row>
    <row r="254" spans="1:5" x14ac:dyDescent="0.25">
      <c r="A254" s="4">
        <v>41907.873460648145</v>
      </c>
      <c r="B254" s="2" t="s">
        <v>3665</v>
      </c>
      <c r="C254" s="2" t="s">
        <v>26</v>
      </c>
      <c r="D254" s="2" t="str">
        <f>"9781444358254"</f>
        <v>9781444358254</v>
      </c>
      <c r="E254" s="2">
        <v>819396</v>
      </c>
    </row>
    <row r="255" spans="1:5" x14ac:dyDescent="0.25">
      <c r="A255" s="4">
        <v>41919.413738425923</v>
      </c>
      <c r="B255" s="2" t="s">
        <v>3402</v>
      </c>
      <c r="C255" s="2" t="s">
        <v>26</v>
      </c>
      <c r="D255" s="2" t="str">
        <f>"9781118033425"</f>
        <v>9781118033425</v>
      </c>
      <c r="E255" s="2">
        <v>706494</v>
      </c>
    </row>
    <row r="256" spans="1:5" x14ac:dyDescent="0.25">
      <c r="A256" s="4">
        <v>41994.889907407407</v>
      </c>
      <c r="B256" s="2" t="s">
        <v>1853</v>
      </c>
      <c r="C256" s="2" t="s">
        <v>72</v>
      </c>
      <c r="D256" s="2" t="str">
        <f>"9780748654314"</f>
        <v>9780748654314</v>
      </c>
      <c r="E256" s="2">
        <v>932472</v>
      </c>
    </row>
    <row r="257" spans="1:5" x14ac:dyDescent="0.25">
      <c r="A257" s="4">
        <v>41994.884988425925</v>
      </c>
      <c r="B257" s="2" t="s">
        <v>2120</v>
      </c>
      <c r="C257" s="2" t="s">
        <v>18</v>
      </c>
      <c r="D257" s="2" t="str">
        <f>"9781441101433"</f>
        <v>9781441101433</v>
      </c>
      <c r="E257" s="2">
        <v>601919</v>
      </c>
    </row>
    <row r="258" spans="1:5" x14ac:dyDescent="0.25">
      <c r="A258" s="4">
        <v>41986.486307870371</v>
      </c>
      <c r="B258" s="2" t="s">
        <v>2324</v>
      </c>
      <c r="C258" s="2" t="s">
        <v>26</v>
      </c>
      <c r="D258" s="2" t="str">
        <f>"9781444359237"</f>
        <v>9781444359237</v>
      </c>
      <c r="E258" s="2">
        <v>707941</v>
      </c>
    </row>
    <row r="259" spans="1:5" x14ac:dyDescent="0.25">
      <c r="A259" s="4">
        <v>41898.75681712963</v>
      </c>
      <c r="B259" s="2" t="s">
        <v>2324</v>
      </c>
      <c r="C259" s="2" t="s">
        <v>26</v>
      </c>
      <c r="D259" s="2" t="str">
        <f>"9781405150217"</f>
        <v>9781405150217</v>
      </c>
      <c r="E259" s="2">
        <v>239919</v>
      </c>
    </row>
    <row r="260" spans="1:5" x14ac:dyDescent="0.25">
      <c r="A260" s="4">
        <v>41994.90824074074</v>
      </c>
      <c r="B260" s="2" t="s">
        <v>182</v>
      </c>
      <c r="C260" s="2" t="s">
        <v>26</v>
      </c>
      <c r="D260" s="2" t="str">
        <f>"9781118209486"</f>
        <v>9781118209486</v>
      </c>
      <c r="E260" s="2">
        <v>819127</v>
      </c>
    </row>
    <row r="261" spans="1:5" x14ac:dyDescent="0.25">
      <c r="A261" s="4">
        <v>41976.011967592596</v>
      </c>
      <c r="B261" s="2" t="s">
        <v>2736</v>
      </c>
      <c r="C261" s="2" t="s">
        <v>7</v>
      </c>
      <c r="D261" s="2" t="str">
        <f>"9781446203378"</f>
        <v>9781446203378</v>
      </c>
      <c r="E261" s="2">
        <v>743684</v>
      </c>
    </row>
    <row r="262" spans="1:5" x14ac:dyDescent="0.25">
      <c r="A262" s="4">
        <v>41975.446504629632</v>
      </c>
      <c r="B262" s="2" t="s">
        <v>2850</v>
      </c>
      <c r="C262" s="2" t="s">
        <v>5</v>
      </c>
      <c r="D262" s="2" t="str">
        <f>"9781846423345"</f>
        <v>9781846423345</v>
      </c>
      <c r="E262" s="2">
        <v>290754</v>
      </c>
    </row>
    <row r="263" spans="1:5" x14ac:dyDescent="0.25">
      <c r="A263" s="4">
        <v>41983.498854166668</v>
      </c>
      <c r="B263" s="2" t="s">
        <v>2406</v>
      </c>
      <c r="C263" s="2" t="s">
        <v>7</v>
      </c>
      <c r="D263" s="2" t="str">
        <f>"9781452250014"</f>
        <v>9781452250014</v>
      </c>
      <c r="E263" s="2">
        <v>1598483</v>
      </c>
    </row>
    <row r="264" spans="1:5" x14ac:dyDescent="0.25">
      <c r="A264" s="4">
        <v>41989.659791666665</v>
      </c>
      <c r="B264" s="2" t="s">
        <v>2253</v>
      </c>
      <c r="C264" s="2" t="s">
        <v>7</v>
      </c>
      <c r="D264" s="2" t="str">
        <f>"9781452263588"</f>
        <v>9781452263588</v>
      </c>
      <c r="E264" s="2">
        <v>996691</v>
      </c>
    </row>
    <row r="265" spans="1:5" x14ac:dyDescent="0.25">
      <c r="A265" s="4">
        <v>41994.885000000002</v>
      </c>
      <c r="B265" s="2" t="s">
        <v>2106</v>
      </c>
      <c r="C265" s="2" t="s">
        <v>74</v>
      </c>
      <c r="D265" s="2" t="str">
        <f>"9781441177261"</f>
        <v>9781441177261</v>
      </c>
      <c r="E265" s="2">
        <v>655520</v>
      </c>
    </row>
    <row r="266" spans="1:5" x14ac:dyDescent="0.25">
      <c r="A266" s="4">
        <v>41893.792974537035</v>
      </c>
      <c r="B266" s="2" t="s">
        <v>3880</v>
      </c>
      <c r="C266" s="2" t="s">
        <v>26</v>
      </c>
      <c r="D266" s="2" t="str">
        <f>"9780470591123"</f>
        <v>9780470591123</v>
      </c>
      <c r="E266" s="2">
        <v>479905</v>
      </c>
    </row>
    <row r="267" spans="1:5" x14ac:dyDescent="0.25">
      <c r="A267" s="4">
        <v>41974.499259259261</v>
      </c>
      <c r="B267" s="2" t="s">
        <v>2973</v>
      </c>
      <c r="C267" s="2" t="s">
        <v>74</v>
      </c>
      <c r="D267" s="2" t="str">
        <f>"9781441186287"</f>
        <v>9781441186287</v>
      </c>
      <c r="E267" s="2">
        <v>943633</v>
      </c>
    </row>
    <row r="268" spans="1:5" x14ac:dyDescent="0.25">
      <c r="A268" s="4">
        <v>41994.901944444442</v>
      </c>
      <c r="B268" s="2" t="s">
        <v>897</v>
      </c>
      <c r="C268" s="2" t="s">
        <v>119</v>
      </c>
      <c r="D268" s="2" t="str">
        <f>"9780520947627"</f>
        <v>9780520947627</v>
      </c>
      <c r="E268" s="2">
        <v>615598</v>
      </c>
    </row>
    <row r="269" spans="1:5" x14ac:dyDescent="0.25">
      <c r="A269" s="4">
        <v>41994.899074074077</v>
      </c>
      <c r="B269" s="2" t="s">
        <v>1318</v>
      </c>
      <c r="C269" s="2" t="s">
        <v>63</v>
      </c>
      <c r="D269" s="2" t="str">
        <f>"9781400838363"</f>
        <v>9781400838363</v>
      </c>
      <c r="E269" s="2">
        <v>664619</v>
      </c>
    </row>
    <row r="270" spans="1:5" x14ac:dyDescent="0.25">
      <c r="A270" s="4">
        <v>41988.444548611114</v>
      </c>
      <c r="B270" s="2" t="s">
        <v>2291</v>
      </c>
      <c r="C270" s="2" t="s">
        <v>36</v>
      </c>
      <c r="D270" s="2" t="str">
        <f>"9780786489763"</f>
        <v>9780786489763</v>
      </c>
      <c r="E270" s="2">
        <v>896977</v>
      </c>
    </row>
    <row r="271" spans="1:5" x14ac:dyDescent="0.25">
      <c r="A271" s="4">
        <v>41905.635115740741</v>
      </c>
      <c r="B271" s="2" t="s">
        <v>3740</v>
      </c>
      <c r="C271" s="2" t="s">
        <v>119</v>
      </c>
      <c r="D271" s="2" t="str">
        <f>"9780520933057"</f>
        <v>9780520933057</v>
      </c>
      <c r="E271" s="2">
        <v>834870</v>
      </c>
    </row>
    <row r="272" spans="1:5" x14ac:dyDescent="0.25">
      <c r="A272" s="4">
        <v>41907.855983796297</v>
      </c>
      <c r="B272" s="2" t="s">
        <v>3666</v>
      </c>
      <c r="C272" s="2" t="s">
        <v>26</v>
      </c>
      <c r="D272" s="2" t="str">
        <f>"9781444393729"</f>
        <v>9781444393729</v>
      </c>
      <c r="E272" s="2">
        <v>645009</v>
      </c>
    </row>
    <row r="273" spans="1:5" x14ac:dyDescent="0.25">
      <c r="A273" s="4">
        <v>41904.605636574073</v>
      </c>
      <c r="B273" s="2" t="s">
        <v>3772</v>
      </c>
      <c r="C273" s="2" t="s">
        <v>26</v>
      </c>
      <c r="D273" s="2" t="str">
        <f>"9781118300947"</f>
        <v>9781118300947</v>
      </c>
      <c r="E273" s="2">
        <v>832297</v>
      </c>
    </row>
    <row r="274" spans="1:5" x14ac:dyDescent="0.25">
      <c r="A274" s="4">
        <v>41919.113171296296</v>
      </c>
      <c r="B274" s="2" t="s">
        <v>3408</v>
      </c>
      <c r="C274" s="2" t="s">
        <v>26</v>
      </c>
      <c r="D274" s="2" t="str">
        <f>"9781444358773"</f>
        <v>9781444358773</v>
      </c>
      <c r="E274" s="2">
        <v>819412</v>
      </c>
    </row>
    <row r="275" spans="1:5" x14ac:dyDescent="0.25">
      <c r="A275" s="4">
        <v>41907.670358796298</v>
      </c>
      <c r="B275" s="2" t="s">
        <v>3672</v>
      </c>
      <c r="C275" s="2" t="s">
        <v>26</v>
      </c>
      <c r="D275" s="2" t="str">
        <f>"9780470752197"</f>
        <v>9780470752197</v>
      </c>
      <c r="E275" s="2">
        <v>350930</v>
      </c>
    </row>
    <row r="276" spans="1:5" x14ac:dyDescent="0.25">
      <c r="A276" s="4">
        <v>41994.901932870373</v>
      </c>
      <c r="B276" s="2" t="s">
        <v>919</v>
      </c>
      <c r="C276" s="2" t="s">
        <v>119</v>
      </c>
      <c r="D276" s="2" t="str">
        <f>"9780520947764"</f>
        <v>9780520947764</v>
      </c>
      <c r="E276" s="2">
        <v>566751</v>
      </c>
    </row>
    <row r="277" spans="1:5" x14ac:dyDescent="0.25">
      <c r="A277" s="4">
        <v>41994.896099537036</v>
      </c>
      <c r="B277" s="2" t="s">
        <v>1587</v>
      </c>
      <c r="C277" s="2" t="s">
        <v>28</v>
      </c>
      <c r="D277" s="2" t="str">
        <f>"9780253003898"</f>
        <v>9780253003898</v>
      </c>
      <c r="E277" s="2">
        <v>501423</v>
      </c>
    </row>
    <row r="278" spans="1:5" x14ac:dyDescent="0.25">
      <c r="A278" s="4">
        <v>41978.380891203706</v>
      </c>
      <c r="B278" s="2" t="s">
        <v>2577</v>
      </c>
      <c r="C278" s="2" t="s">
        <v>26</v>
      </c>
      <c r="D278" s="2" t="str">
        <f>"9781444396072"</f>
        <v>9781444396072</v>
      </c>
      <c r="E278" s="2">
        <v>661747</v>
      </c>
    </row>
    <row r="279" spans="1:5" x14ac:dyDescent="0.25">
      <c r="A279" s="4">
        <v>41907.64607638889</v>
      </c>
      <c r="B279" s="2" t="s">
        <v>3673</v>
      </c>
      <c r="C279" s="2" t="s">
        <v>26</v>
      </c>
      <c r="D279" s="2" t="str">
        <f>"9781444358193"</f>
        <v>9781444358193</v>
      </c>
      <c r="E279" s="2">
        <v>819395</v>
      </c>
    </row>
    <row r="280" spans="1:5" x14ac:dyDescent="0.25">
      <c r="A280" s="4">
        <v>41994.885034722225</v>
      </c>
      <c r="B280" s="2" t="s">
        <v>2024</v>
      </c>
      <c r="C280" s="2" t="s">
        <v>18</v>
      </c>
      <c r="D280" s="2" t="str">
        <f>"9781441111357"</f>
        <v>9781441111357</v>
      </c>
      <c r="E280" s="2">
        <v>1177237</v>
      </c>
    </row>
    <row r="281" spans="1:5" x14ac:dyDescent="0.25">
      <c r="A281" s="4">
        <v>41975.804328703707</v>
      </c>
      <c r="B281" s="2" t="s">
        <v>2780</v>
      </c>
      <c r="C281" s="2" t="s">
        <v>26</v>
      </c>
      <c r="D281" s="2" t="str">
        <f>"9781405152334"</f>
        <v>9781405152334</v>
      </c>
      <c r="E281" s="2">
        <v>243603</v>
      </c>
    </row>
    <row r="282" spans="1:5" x14ac:dyDescent="0.25">
      <c r="A282" s="4">
        <v>41911.332754629628</v>
      </c>
      <c r="B282" s="2" t="s">
        <v>3605</v>
      </c>
      <c r="C282" s="2" t="s">
        <v>26</v>
      </c>
      <c r="D282" s="2" t="str">
        <f>"9780470775325"</f>
        <v>9780470775325</v>
      </c>
      <c r="E282" s="2">
        <v>350931</v>
      </c>
    </row>
    <row r="283" spans="1:5" x14ac:dyDescent="0.25">
      <c r="A283" s="4">
        <v>41994.901921296296</v>
      </c>
      <c r="B283" s="2" t="s">
        <v>986</v>
      </c>
      <c r="C283" s="2" t="s">
        <v>119</v>
      </c>
      <c r="D283" s="2" t="str">
        <f>"9780520928190"</f>
        <v>9780520928190</v>
      </c>
      <c r="E283" s="2">
        <v>227280</v>
      </c>
    </row>
    <row r="284" spans="1:5" x14ac:dyDescent="0.25">
      <c r="A284" s="4">
        <v>41994.885011574072</v>
      </c>
      <c r="B284" s="2" t="s">
        <v>2072</v>
      </c>
      <c r="C284" s="2" t="s">
        <v>74</v>
      </c>
      <c r="D284" s="2" t="str">
        <f>"9781441167101"</f>
        <v>9781441167101</v>
      </c>
      <c r="E284" s="2">
        <v>795461</v>
      </c>
    </row>
    <row r="285" spans="1:5" x14ac:dyDescent="0.25">
      <c r="A285" s="4">
        <v>41976.599189814813</v>
      </c>
      <c r="B285" s="2" t="s">
        <v>2667</v>
      </c>
      <c r="C285" s="2" t="s">
        <v>119</v>
      </c>
      <c r="D285" s="2" t="str">
        <f>"9780520959392"</f>
        <v>9780520959392</v>
      </c>
      <c r="E285" s="2">
        <v>1711017</v>
      </c>
    </row>
    <row r="286" spans="1:5" x14ac:dyDescent="0.25">
      <c r="A286" s="4">
        <v>41976.412743055553</v>
      </c>
      <c r="B286" s="2" t="s">
        <v>2718</v>
      </c>
      <c r="C286" s="2" t="s">
        <v>26</v>
      </c>
      <c r="D286" s="2" t="str">
        <f>"9780470666067"</f>
        <v>9780470666067</v>
      </c>
      <c r="E286" s="2">
        <v>514440</v>
      </c>
    </row>
    <row r="287" spans="1:5" x14ac:dyDescent="0.25">
      <c r="A287" s="4">
        <v>41994.878750000003</v>
      </c>
      <c r="B287" s="2" t="s">
        <v>2203</v>
      </c>
      <c r="C287" s="2" t="s">
        <v>2170</v>
      </c>
      <c r="D287" s="2" t="str">
        <f>"9781848132122"</f>
        <v>9781848132122</v>
      </c>
      <c r="E287" s="2">
        <v>688562</v>
      </c>
    </row>
    <row r="288" spans="1:5" x14ac:dyDescent="0.25">
      <c r="A288" s="4">
        <v>41975.338310185187</v>
      </c>
      <c r="B288" s="2" t="s">
        <v>2870</v>
      </c>
      <c r="C288" s="2" t="s">
        <v>36</v>
      </c>
      <c r="D288" s="2" t="str">
        <f>"9780786486038"</f>
        <v>9780786486038</v>
      </c>
      <c r="E288" s="2">
        <v>687015</v>
      </c>
    </row>
    <row r="289" spans="1:5" x14ac:dyDescent="0.25">
      <c r="A289" s="4">
        <v>41904.025972222225</v>
      </c>
      <c r="B289" s="2" t="s">
        <v>3787</v>
      </c>
      <c r="C289" s="2" t="s">
        <v>36</v>
      </c>
      <c r="D289" s="2" t="str">
        <f>"9780786451296"</f>
        <v>9780786451296</v>
      </c>
      <c r="E289" s="2">
        <v>1594798</v>
      </c>
    </row>
    <row r="290" spans="1:5" x14ac:dyDescent="0.25">
      <c r="A290" s="4">
        <v>41994.901921296296</v>
      </c>
      <c r="B290" s="2" t="s">
        <v>960</v>
      </c>
      <c r="C290" s="2" t="s">
        <v>119</v>
      </c>
      <c r="D290" s="2" t="str">
        <f>"9780520932821"</f>
        <v>9780520932821</v>
      </c>
      <c r="E290" s="2">
        <v>291502</v>
      </c>
    </row>
    <row r="291" spans="1:5" x14ac:dyDescent="0.25">
      <c r="A291" s="4">
        <v>41935.614027777781</v>
      </c>
      <c r="B291" s="2" t="s">
        <v>3023</v>
      </c>
      <c r="C291" s="2" t="s">
        <v>119</v>
      </c>
      <c r="D291" s="2" t="str">
        <f>"9780520927575"</f>
        <v>9780520927575</v>
      </c>
      <c r="E291" s="2">
        <v>224197</v>
      </c>
    </row>
    <row r="292" spans="1:5" x14ac:dyDescent="0.25">
      <c r="A292" s="4">
        <v>41994.902013888888</v>
      </c>
      <c r="B292" s="2" t="s">
        <v>656</v>
      </c>
      <c r="C292" s="2" t="s">
        <v>119</v>
      </c>
      <c r="D292" s="2" t="str">
        <f>"9780520958845"</f>
        <v>9780520958845</v>
      </c>
      <c r="E292" s="2">
        <v>1693157</v>
      </c>
    </row>
    <row r="293" spans="1:5" x14ac:dyDescent="0.25">
      <c r="A293" s="4">
        <v>41983.667175925926</v>
      </c>
      <c r="B293" s="2" t="s">
        <v>2401</v>
      </c>
      <c r="C293" s="2" t="s">
        <v>119</v>
      </c>
      <c r="D293" s="2" t="str">
        <f>"9780520908253"</f>
        <v>9780520908253</v>
      </c>
      <c r="E293" s="2">
        <v>837330</v>
      </c>
    </row>
    <row r="294" spans="1:5" x14ac:dyDescent="0.25">
      <c r="A294" s="4">
        <v>41994.896157407406</v>
      </c>
      <c r="B294" s="2" t="s">
        <v>1475</v>
      </c>
      <c r="C294" s="2" t="s">
        <v>28</v>
      </c>
      <c r="D294" s="2" t="str">
        <f>"9780253007612"</f>
        <v>9780253007612</v>
      </c>
      <c r="E294" s="2">
        <v>1211183</v>
      </c>
    </row>
    <row r="295" spans="1:5" x14ac:dyDescent="0.25">
      <c r="A295" s="4">
        <v>41994.896087962959</v>
      </c>
      <c r="B295" s="2" t="s">
        <v>1600</v>
      </c>
      <c r="C295" s="2" t="s">
        <v>28</v>
      </c>
      <c r="D295" s="2" t="str">
        <f>"9780253116741"</f>
        <v>9780253116741</v>
      </c>
      <c r="E295" s="2">
        <v>328083</v>
      </c>
    </row>
    <row r="296" spans="1:5" x14ac:dyDescent="0.25">
      <c r="A296" s="4">
        <v>41994.901990740742</v>
      </c>
      <c r="B296" s="2" t="s">
        <v>754</v>
      </c>
      <c r="C296" s="2" t="s">
        <v>119</v>
      </c>
      <c r="D296" s="2" t="str">
        <f>"9780520954038"</f>
        <v>9780520954038</v>
      </c>
      <c r="E296" s="2">
        <v>962597</v>
      </c>
    </row>
    <row r="297" spans="1:5" x14ac:dyDescent="0.25">
      <c r="A297" s="4">
        <v>41907.930983796294</v>
      </c>
      <c r="B297" s="2" t="s">
        <v>3664</v>
      </c>
      <c r="C297" s="2" t="s">
        <v>26</v>
      </c>
      <c r="D297" s="2" t="str">
        <f>"9781118165997"</f>
        <v>9781118165997</v>
      </c>
      <c r="E297" s="2">
        <v>818939</v>
      </c>
    </row>
    <row r="298" spans="1:5" x14ac:dyDescent="0.25">
      <c r="A298" s="4">
        <v>41994.892916666664</v>
      </c>
      <c r="B298" s="2" t="s">
        <v>1709</v>
      </c>
      <c r="C298" s="2" t="s">
        <v>16</v>
      </c>
      <c r="D298" s="2" t="str">
        <f>"9781609185008"</f>
        <v>9781609185008</v>
      </c>
      <c r="E298" s="2">
        <v>759913</v>
      </c>
    </row>
    <row r="299" spans="1:5" x14ac:dyDescent="0.25">
      <c r="A299" s="4">
        <v>41905.84134259259</v>
      </c>
      <c r="B299" s="2" t="s">
        <v>3726</v>
      </c>
      <c r="C299" s="2" t="s">
        <v>16</v>
      </c>
      <c r="D299" s="2" t="str">
        <f>"9781606236413"</f>
        <v>9781606236413</v>
      </c>
      <c r="E299" s="2">
        <v>533872</v>
      </c>
    </row>
    <row r="300" spans="1:5" x14ac:dyDescent="0.25">
      <c r="A300" s="4">
        <v>41984.679444444446</v>
      </c>
      <c r="B300" s="2" t="s">
        <v>2357</v>
      </c>
      <c r="C300" s="2" t="s">
        <v>36</v>
      </c>
      <c r="D300" s="2" t="str">
        <f>"9780786484812"</f>
        <v>9780786484812</v>
      </c>
      <c r="E300" s="2">
        <v>665242</v>
      </c>
    </row>
    <row r="301" spans="1:5" x14ac:dyDescent="0.25">
      <c r="A301" s="4">
        <v>41932.805844907409</v>
      </c>
      <c r="B301" s="2" t="s">
        <v>3112</v>
      </c>
      <c r="C301" s="2" t="s">
        <v>26</v>
      </c>
      <c r="D301" s="2" t="str">
        <f>"9780787994525"</f>
        <v>9780787994525</v>
      </c>
      <c r="E301" s="2">
        <v>284516</v>
      </c>
    </row>
    <row r="302" spans="1:5" x14ac:dyDescent="0.25">
      <c r="A302" s="4">
        <v>41994.908206018517</v>
      </c>
      <c r="B302" s="2" t="s">
        <v>278</v>
      </c>
      <c r="C302" s="2" t="s">
        <v>205</v>
      </c>
      <c r="D302" s="2" t="str">
        <f>"9781118015100"</f>
        <v>9781118015100</v>
      </c>
      <c r="E302" s="2">
        <v>675213</v>
      </c>
    </row>
    <row r="303" spans="1:5" x14ac:dyDescent="0.25">
      <c r="A303" s="4">
        <v>41915.375636574077</v>
      </c>
      <c r="B303" s="2" t="s">
        <v>3499</v>
      </c>
      <c r="C303" s="2" t="s">
        <v>2404</v>
      </c>
      <c r="D303" s="2" t="str">
        <f>"9780335236435"</f>
        <v>9780335236435</v>
      </c>
      <c r="E303" s="2">
        <v>369501</v>
      </c>
    </row>
    <row r="304" spans="1:5" x14ac:dyDescent="0.25">
      <c r="A304" s="4">
        <v>41918.560740740744</v>
      </c>
      <c r="B304" s="2" t="s">
        <v>3429</v>
      </c>
      <c r="C304" s="2" t="s">
        <v>36</v>
      </c>
      <c r="D304" s="2" t="str">
        <f>"9780786493234"</f>
        <v>9780786493234</v>
      </c>
      <c r="E304" s="2">
        <v>979949</v>
      </c>
    </row>
    <row r="305" spans="1:5" x14ac:dyDescent="0.25">
      <c r="A305" s="4">
        <v>41994.896111111113</v>
      </c>
      <c r="B305" s="2" t="s">
        <v>1577</v>
      </c>
      <c r="C305" s="2" t="s">
        <v>28</v>
      </c>
      <c r="D305" s="2" t="str">
        <f>"9780253004598"</f>
        <v>9780253004598</v>
      </c>
      <c r="E305" s="2">
        <v>570379</v>
      </c>
    </row>
    <row r="306" spans="1:5" x14ac:dyDescent="0.25">
      <c r="A306" s="4">
        <v>41994.889861111114</v>
      </c>
      <c r="B306" s="2" t="s">
        <v>1905</v>
      </c>
      <c r="C306" s="2" t="s">
        <v>72</v>
      </c>
      <c r="D306" s="2" t="str">
        <f>"9780748630172"</f>
        <v>9780748630172</v>
      </c>
      <c r="E306" s="2">
        <v>536983</v>
      </c>
    </row>
    <row r="307" spans="1:5" x14ac:dyDescent="0.25">
      <c r="A307" s="4">
        <v>41994.901990740742</v>
      </c>
      <c r="B307" s="2" t="s">
        <v>739</v>
      </c>
      <c r="C307" s="2" t="s">
        <v>119</v>
      </c>
      <c r="D307" s="2" t="str">
        <f>"9780520953956"</f>
        <v>9780520953956</v>
      </c>
      <c r="E307" s="2">
        <v>1062235</v>
      </c>
    </row>
    <row r="308" spans="1:5" x14ac:dyDescent="0.25">
      <c r="A308" s="4">
        <v>41902.499131944445</v>
      </c>
      <c r="B308" s="2" t="s">
        <v>3809</v>
      </c>
      <c r="C308" s="2" t="s">
        <v>26</v>
      </c>
      <c r="D308" s="2" t="str">
        <f>"9781444360417"</f>
        <v>9781444360417</v>
      </c>
      <c r="E308" s="2">
        <v>819454</v>
      </c>
    </row>
    <row r="309" spans="1:5" x14ac:dyDescent="0.25">
      <c r="A309" s="4">
        <v>41930.682037037041</v>
      </c>
      <c r="B309" s="2" t="s">
        <v>3153</v>
      </c>
      <c r="C309" s="2" t="s">
        <v>119</v>
      </c>
      <c r="D309" s="2" t="str">
        <f>"9780520947948"</f>
        <v>9780520947948</v>
      </c>
      <c r="E309" s="2">
        <v>579796</v>
      </c>
    </row>
    <row r="310" spans="1:5" x14ac:dyDescent="0.25">
      <c r="A310" s="4">
        <v>41907.321111111109</v>
      </c>
      <c r="B310" s="2" t="s">
        <v>3693</v>
      </c>
      <c r="C310" s="2" t="s">
        <v>26</v>
      </c>
      <c r="D310" s="2" t="str">
        <f>"9781405143301"</f>
        <v>9781405143301</v>
      </c>
      <c r="E310" s="2">
        <v>233000</v>
      </c>
    </row>
    <row r="311" spans="1:5" x14ac:dyDescent="0.25">
      <c r="A311" s="4">
        <v>41976.679664351854</v>
      </c>
      <c r="B311" s="2" t="s">
        <v>2651</v>
      </c>
      <c r="C311" s="2" t="s">
        <v>26</v>
      </c>
      <c r="D311" s="2" t="str">
        <f>"9781405153034"</f>
        <v>9781405153034</v>
      </c>
      <c r="E311" s="2">
        <v>243562</v>
      </c>
    </row>
    <row r="312" spans="1:5" x14ac:dyDescent="0.25">
      <c r="A312" s="4">
        <v>41905.475891203707</v>
      </c>
      <c r="B312" s="2" t="s">
        <v>3743</v>
      </c>
      <c r="C312" s="2" t="s">
        <v>63</v>
      </c>
      <c r="D312" s="2" t="str">
        <f>"9781400850969"</f>
        <v>9781400850969</v>
      </c>
      <c r="E312" s="2">
        <v>1573473</v>
      </c>
    </row>
    <row r="313" spans="1:5" x14ac:dyDescent="0.25">
      <c r="A313" s="4">
        <v>41976.571805555555</v>
      </c>
      <c r="B313" s="2" t="s">
        <v>2678</v>
      </c>
      <c r="C313" s="2" t="s">
        <v>18</v>
      </c>
      <c r="D313" s="2" t="str">
        <f>"9781472586445"</f>
        <v>9781472586445</v>
      </c>
      <c r="E313" s="2">
        <v>1794543</v>
      </c>
    </row>
    <row r="314" spans="1:5" x14ac:dyDescent="0.25">
      <c r="A314" s="4">
        <v>41923.690358796295</v>
      </c>
      <c r="B314" s="2" t="s">
        <v>3304</v>
      </c>
      <c r="C314" s="2" t="s">
        <v>160</v>
      </c>
      <c r="D314" s="2" t="str">
        <f>"9781118260203"</f>
        <v>9781118260203</v>
      </c>
      <c r="E314" s="2">
        <v>706577</v>
      </c>
    </row>
    <row r="315" spans="1:5" x14ac:dyDescent="0.25">
      <c r="A315" s="4">
        <v>41914.328206018516</v>
      </c>
      <c r="B315" s="2" t="s">
        <v>3521</v>
      </c>
      <c r="C315" s="2" t="s">
        <v>26</v>
      </c>
      <c r="D315" s="2" t="str">
        <f>"9781118004838"</f>
        <v>9781118004838</v>
      </c>
      <c r="E315" s="2">
        <v>588863</v>
      </c>
    </row>
    <row r="316" spans="1:5" x14ac:dyDescent="0.25">
      <c r="A316" s="4">
        <v>41988.658726851849</v>
      </c>
      <c r="B316" s="2" t="s">
        <v>2278</v>
      </c>
      <c r="C316" s="2" t="s">
        <v>36</v>
      </c>
      <c r="D316" s="2" t="str">
        <f>"9781476615912"</f>
        <v>9781476615912</v>
      </c>
      <c r="E316" s="2">
        <v>1600385</v>
      </c>
    </row>
    <row r="317" spans="1:5" x14ac:dyDescent="0.25">
      <c r="A317" s="4">
        <v>43131.353483796294</v>
      </c>
      <c r="B317" s="2" t="s">
        <v>117</v>
      </c>
      <c r="C317" s="2" t="s">
        <v>5</v>
      </c>
      <c r="D317" s="2" t="str">
        <f>"9781784505561"</f>
        <v>9781784505561</v>
      </c>
      <c r="E317" s="2">
        <v>4749755</v>
      </c>
    </row>
    <row r="318" spans="1:5" x14ac:dyDescent="0.25">
      <c r="A318" s="4">
        <v>41994.901990740742</v>
      </c>
      <c r="B318" s="2" t="s">
        <v>745</v>
      </c>
      <c r="C318" s="2" t="s">
        <v>119</v>
      </c>
      <c r="D318" s="2" t="str">
        <f>"9780520953949"</f>
        <v>9780520953949</v>
      </c>
      <c r="E318" s="2">
        <v>1013616</v>
      </c>
    </row>
    <row r="319" spans="1:5" x14ac:dyDescent="0.25">
      <c r="A319" s="4">
        <v>41925.599444444444</v>
      </c>
      <c r="B319" s="2" t="s">
        <v>745</v>
      </c>
      <c r="C319" s="2" t="s">
        <v>119</v>
      </c>
      <c r="D319" s="2" t="str">
        <f>"9780520931039"</f>
        <v>9780520931039</v>
      </c>
      <c r="E319" s="2">
        <v>224740</v>
      </c>
    </row>
    <row r="320" spans="1:5" x14ac:dyDescent="0.25">
      <c r="A320" s="4">
        <v>41994.885034722225</v>
      </c>
      <c r="B320" s="2" t="s">
        <v>2018</v>
      </c>
      <c r="C320" s="2" t="s">
        <v>18</v>
      </c>
      <c r="D320" s="2" t="str">
        <f>"9781623562540"</f>
        <v>9781623562540</v>
      </c>
      <c r="E320" s="2">
        <v>1206922</v>
      </c>
    </row>
    <row r="321" spans="1:5" x14ac:dyDescent="0.25">
      <c r="A321" s="4">
        <v>41994.89912037037</v>
      </c>
      <c r="B321" s="2" t="s">
        <v>1159</v>
      </c>
      <c r="C321" s="2" t="s">
        <v>63</v>
      </c>
      <c r="D321" s="2" t="str">
        <f>"9781400846009"</f>
        <v>9781400846009</v>
      </c>
      <c r="E321" s="2">
        <v>1205607</v>
      </c>
    </row>
    <row r="322" spans="1:5" x14ac:dyDescent="0.25">
      <c r="A322" s="4">
        <v>41929.732824074075</v>
      </c>
      <c r="B322" s="2" t="s">
        <v>3164</v>
      </c>
      <c r="C322" s="2" t="s">
        <v>63</v>
      </c>
      <c r="D322" s="2" t="str">
        <f>"9781400852369"</f>
        <v>9781400852369</v>
      </c>
      <c r="E322" s="2">
        <v>1689364</v>
      </c>
    </row>
    <row r="323" spans="1:5" x14ac:dyDescent="0.25">
      <c r="A323" s="4">
        <v>41935.844467592593</v>
      </c>
      <c r="B323" s="2" t="s">
        <v>3013</v>
      </c>
      <c r="C323" s="2" t="s">
        <v>96</v>
      </c>
      <c r="D323" s="2" t="str">
        <f>"9780807869185"</f>
        <v>9780807869185</v>
      </c>
      <c r="E323" s="2">
        <v>825146</v>
      </c>
    </row>
    <row r="324" spans="1:5" x14ac:dyDescent="0.25">
      <c r="A324" s="4">
        <v>41988.042048611111</v>
      </c>
      <c r="B324" s="2" t="s">
        <v>2303</v>
      </c>
      <c r="C324" s="2" t="s">
        <v>119</v>
      </c>
      <c r="D324" s="2" t="str">
        <f>"9780520957701"</f>
        <v>9780520957701</v>
      </c>
      <c r="E324" s="2">
        <v>1618634</v>
      </c>
    </row>
    <row r="325" spans="1:5" x14ac:dyDescent="0.25">
      <c r="A325" s="4">
        <v>41994.901932870373</v>
      </c>
      <c r="B325" s="2" t="s">
        <v>951</v>
      </c>
      <c r="C325" s="2" t="s">
        <v>119</v>
      </c>
      <c r="D325" s="2" t="str">
        <f>"9780520930193"</f>
        <v>9780520930193</v>
      </c>
      <c r="E325" s="2">
        <v>470833</v>
      </c>
    </row>
    <row r="326" spans="1:5" x14ac:dyDescent="0.25">
      <c r="A326" s="4">
        <v>41974.77925925926</v>
      </c>
      <c r="B326" s="2" t="s">
        <v>2915</v>
      </c>
      <c r="C326" s="2" t="s">
        <v>26</v>
      </c>
      <c r="D326" s="2" t="str">
        <f>"9781118146095"</f>
        <v>9781118146095</v>
      </c>
      <c r="E326" s="2">
        <v>817359</v>
      </c>
    </row>
    <row r="327" spans="1:5" x14ac:dyDescent="0.25">
      <c r="A327" s="4">
        <v>41994.896157407406</v>
      </c>
      <c r="B327" s="2" t="s">
        <v>1480</v>
      </c>
      <c r="C327" s="2" t="s">
        <v>28</v>
      </c>
      <c r="D327" s="2" t="str">
        <f>"9780253009135"</f>
        <v>9780253009135</v>
      </c>
      <c r="E327" s="2">
        <v>1204010</v>
      </c>
    </row>
    <row r="328" spans="1:5" x14ac:dyDescent="0.25">
      <c r="A328" s="4">
        <v>41994.905590277776</v>
      </c>
      <c r="B328" s="2" t="s">
        <v>568</v>
      </c>
      <c r="C328" s="2" t="s">
        <v>424</v>
      </c>
      <c r="D328" s="2" t="str">
        <f>"9780807878095"</f>
        <v>9780807878095</v>
      </c>
      <c r="E328" s="2">
        <v>680723</v>
      </c>
    </row>
    <row r="329" spans="1:5" x14ac:dyDescent="0.25">
      <c r="A329" s="4">
        <v>41870.61577546296</v>
      </c>
      <c r="B329" s="2" t="s">
        <v>3946</v>
      </c>
      <c r="C329" s="2" t="s">
        <v>2283</v>
      </c>
      <c r="D329" s="2" t="str">
        <f>"9789027284112"</f>
        <v>9789027284112</v>
      </c>
      <c r="E329" s="2">
        <v>800219</v>
      </c>
    </row>
    <row r="330" spans="1:5" x14ac:dyDescent="0.25">
      <c r="A330" s="4">
        <v>43202.531574074077</v>
      </c>
      <c r="B330" s="2" t="s">
        <v>59</v>
      </c>
      <c r="C330" s="2" t="s">
        <v>5</v>
      </c>
      <c r="D330" s="2" t="str">
        <f>"9781784505127"</f>
        <v>9781784505127</v>
      </c>
      <c r="E330" s="2">
        <v>4898690</v>
      </c>
    </row>
    <row r="331" spans="1:5" x14ac:dyDescent="0.25">
      <c r="A331" s="4">
        <v>41994.885057870371</v>
      </c>
      <c r="B331" s="2" t="s">
        <v>1952</v>
      </c>
      <c r="C331" s="2" t="s">
        <v>18</v>
      </c>
      <c r="D331" s="2" t="str">
        <f>"9781408148280"</f>
        <v>9781408148280</v>
      </c>
      <c r="E331" s="2">
        <v>1685631</v>
      </c>
    </row>
    <row r="332" spans="1:5" x14ac:dyDescent="0.25">
      <c r="A332" s="4">
        <v>41994.885046296295</v>
      </c>
      <c r="B332" s="2" t="s">
        <v>1986</v>
      </c>
      <c r="C332" s="2" t="s">
        <v>18</v>
      </c>
      <c r="D332" s="2" t="str">
        <f>"9781472537720"</f>
        <v>9781472537720</v>
      </c>
      <c r="E332" s="2">
        <v>1426788</v>
      </c>
    </row>
    <row r="333" spans="1:5" x14ac:dyDescent="0.25">
      <c r="A333" s="4">
        <v>41988.624710648146</v>
      </c>
      <c r="B333" s="2" t="s">
        <v>2281</v>
      </c>
      <c r="C333" s="2" t="s">
        <v>26</v>
      </c>
      <c r="D333" s="2" t="str">
        <f>"9780470829585"</f>
        <v>9780470829585</v>
      </c>
      <c r="E333" s="2">
        <v>693332</v>
      </c>
    </row>
    <row r="334" spans="1:5" x14ac:dyDescent="0.25">
      <c r="A334" s="4">
        <v>41994.889826388891</v>
      </c>
      <c r="B334" s="2" t="s">
        <v>1922</v>
      </c>
      <c r="C334" s="2" t="s">
        <v>72</v>
      </c>
      <c r="D334" s="2" t="str">
        <f>"9780748629831"</f>
        <v>9780748629831</v>
      </c>
      <c r="E334" s="2">
        <v>343568</v>
      </c>
    </row>
    <row r="335" spans="1:5" x14ac:dyDescent="0.25">
      <c r="A335" s="4">
        <v>41905.438703703701</v>
      </c>
      <c r="B335" s="2" t="s">
        <v>3746</v>
      </c>
      <c r="C335" s="2" t="s">
        <v>160</v>
      </c>
      <c r="D335" s="2" t="str">
        <f>"9780470474662"</f>
        <v>9780470474662</v>
      </c>
      <c r="E335" s="2">
        <v>427727</v>
      </c>
    </row>
    <row r="336" spans="1:5" x14ac:dyDescent="0.25">
      <c r="A336" s="4">
        <v>41876.787754629629</v>
      </c>
      <c r="B336" s="2" t="s">
        <v>3936</v>
      </c>
      <c r="C336" s="2" t="s">
        <v>26</v>
      </c>
      <c r="D336" s="2" t="str">
        <f>"9780787973438"</f>
        <v>9780787973438</v>
      </c>
      <c r="E336" s="2">
        <v>184452</v>
      </c>
    </row>
    <row r="337" spans="1:5" x14ac:dyDescent="0.25">
      <c r="A337" s="4">
        <v>41988.677499999998</v>
      </c>
      <c r="B337" s="2" t="s">
        <v>2274</v>
      </c>
      <c r="C337" s="2" t="s">
        <v>5</v>
      </c>
      <c r="D337" s="2" t="str">
        <f>"9781784500368"</f>
        <v>9781784500368</v>
      </c>
      <c r="E337" s="2">
        <v>1786597</v>
      </c>
    </row>
    <row r="338" spans="1:5" x14ac:dyDescent="0.25">
      <c r="A338" s="4">
        <v>41980.006678240738</v>
      </c>
      <c r="B338" s="2" t="s">
        <v>2524</v>
      </c>
      <c r="C338" s="2" t="s">
        <v>5</v>
      </c>
      <c r="D338" s="2" t="str">
        <f>"9780857007025"</f>
        <v>9780857007025</v>
      </c>
      <c r="E338" s="2">
        <v>1042226</v>
      </c>
    </row>
    <row r="339" spans="1:5" x14ac:dyDescent="0.25">
      <c r="A339" s="4">
        <v>41878.676481481481</v>
      </c>
      <c r="B339" s="2" t="s">
        <v>3928</v>
      </c>
      <c r="C339" s="2" t="s">
        <v>16</v>
      </c>
      <c r="D339" s="2" t="str">
        <f>"9781606231876"</f>
        <v>9781606231876</v>
      </c>
      <c r="E339" s="2">
        <v>362537</v>
      </c>
    </row>
    <row r="340" spans="1:5" x14ac:dyDescent="0.25">
      <c r="A340" s="4">
        <v>41918.363263888888</v>
      </c>
      <c r="B340" s="2" t="s">
        <v>3443</v>
      </c>
      <c r="C340" s="2" t="s">
        <v>16</v>
      </c>
      <c r="D340" s="2" t="str">
        <f>"9781462511303"</f>
        <v>9781462511303</v>
      </c>
      <c r="E340" s="2">
        <v>1313468</v>
      </c>
    </row>
    <row r="341" spans="1:5" x14ac:dyDescent="0.25">
      <c r="A341" s="4">
        <v>41869.089513888888</v>
      </c>
      <c r="B341" s="2" t="s">
        <v>3952</v>
      </c>
      <c r="C341" s="2" t="s">
        <v>26</v>
      </c>
      <c r="D341" s="2" t="str">
        <f>"9780470936818"</f>
        <v>9780470936818</v>
      </c>
      <c r="E341" s="2">
        <v>573783</v>
      </c>
    </row>
    <row r="342" spans="1:5" x14ac:dyDescent="0.25">
      <c r="A342" s="4">
        <v>42885.611307870371</v>
      </c>
      <c r="B342" s="2" t="s">
        <v>136</v>
      </c>
      <c r="C342" s="2" t="s">
        <v>16</v>
      </c>
      <c r="D342" s="2" t="str">
        <f>"9781462524372"</f>
        <v>9781462524372</v>
      </c>
      <c r="E342" s="2">
        <v>4000667</v>
      </c>
    </row>
    <row r="343" spans="1:5" x14ac:dyDescent="0.25">
      <c r="A343" s="4">
        <v>41994.892928240741</v>
      </c>
      <c r="B343" s="2" t="s">
        <v>1675</v>
      </c>
      <c r="C343" s="2" t="s">
        <v>16</v>
      </c>
      <c r="D343" s="2" t="str">
        <f>"9781462506880"</f>
        <v>9781462506880</v>
      </c>
      <c r="E343" s="2">
        <v>1034766</v>
      </c>
    </row>
    <row r="344" spans="1:5" x14ac:dyDescent="0.25">
      <c r="A344" s="4">
        <v>41905.656655092593</v>
      </c>
      <c r="B344" s="2" t="s">
        <v>3739</v>
      </c>
      <c r="C344" s="2" t="s">
        <v>119</v>
      </c>
      <c r="D344" s="2" t="str">
        <f>"9780520958418"</f>
        <v>9780520958418</v>
      </c>
      <c r="E344" s="2">
        <v>1596987</v>
      </c>
    </row>
    <row r="345" spans="1:5" x14ac:dyDescent="0.25">
      <c r="A345" s="4">
        <v>41922.563750000001</v>
      </c>
      <c r="B345" s="2" t="s">
        <v>3317</v>
      </c>
      <c r="C345" s="2" t="s">
        <v>26</v>
      </c>
      <c r="D345" s="2" t="str">
        <f>"9780470167939"</f>
        <v>9780470167939</v>
      </c>
      <c r="E345" s="2">
        <v>287387</v>
      </c>
    </row>
    <row r="346" spans="1:5" x14ac:dyDescent="0.25">
      <c r="A346" s="4">
        <v>41994.90556712963</v>
      </c>
      <c r="B346" s="2" t="s">
        <v>616</v>
      </c>
      <c r="C346" s="2" t="s">
        <v>424</v>
      </c>
      <c r="D346" s="2" t="str">
        <f>"9780807863138"</f>
        <v>9780807863138</v>
      </c>
      <c r="E346" s="2">
        <v>413340</v>
      </c>
    </row>
    <row r="347" spans="1:5" x14ac:dyDescent="0.25">
      <c r="A347" s="4">
        <v>41994.899074074077</v>
      </c>
      <c r="B347" s="2" t="s">
        <v>1324</v>
      </c>
      <c r="C347" s="2" t="s">
        <v>63</v>
      </c>
      <c r="D347" s="2" t="str">
        <f>"9781400838233"</f>
        <v>9781400838233</v>
      </c>
      <c r="E347" s="2">
        <v>664595</v>
      </c>
    </row>
    <row r="348" spans="1:5" x14ac:dyDescent="0.25">
      <c r="A348" s="4">
        <v>41994.901932870373</v>
      </c>
      <c r="B348" s="2" t="s">
        <v>927</v>
      </c>
      <c r="C348" s="2" t="s">
        <v>119</v>
      </c>
      <c r="D348" s="2" t="str">
        <f>"9780520945883"</f>
        <v>9780520945883</v>
      </c>
      <c r="E348" s="2">
        <v>517162</v>
      </c>
    </row>
    <row r="349" spans="1:5" x14ac:dyDescent="0.25">
      <c r="A349" s="4">
        <v>41994.899074074077</v>
      </c>
      <c r="B349" s="2" t="s">
        <v>1313</v>
      </c>
      <c r="C349" s="2" t="s">
        <v>63</v>
      </c>
      <c r="D349" s="2" t="str">
        <f>"9781400838172"</f>
        <v>9781400838172</v>
      </c>
      <c r="E349" s="2">
        <v>664795</v>
      </c>
    </row>
    <row r="350" spans="1:5" x14ac:dyDescent="0.25">
      <c r="A350" s="4">
        <v>41994.884988425925</v>
      </c>
      <c r="B350" s="2" t="s">
        <v>2115</v>
      </c>
      <c r="C350" s="2" t="s">
        <v>18</v>
      </c>
      <c r="D350" s="2" t="str">
        <f>"9781441187949"</f>
        <v>9781441187949</v>
      </c>
      <c r="E350" s="2">
        <v>601998</v>
      </c>
    </row>
    <row r="351" spans="1:5" x14ac:dyDescent="0.25">
      <c r="A351" s="4">
        <v>41994.885057870371</v>
      </c>
      <c r="B351" s="2" t="s">
        <v>1933</v>
      </c>
      <c r="C351" s="2" t="s">
        <v>1934</v>
      </c>
      <c r="D351" s="2" t="str">
        <f>"9781441165312"</f>
        <v>9781441165312</v>
      </c>
      <c r="E351" s="2">
        <v>1815443</v>
      </c>
    </row>
    <row r="352" spans="1:5" x14ac:dyDescent="0.25">
      <c r="A352" s="4">
        <v>41974.983043981483</v>
      </c>
      <c r="B352" s="2" t="s">
        <v>2884</v>
      </c>
      <c r="C352" s="2" t="s">
        <v>72</v>
      </c>
      <c r="D352" s="2" t="str">
        <f>"9780748631247"</f>
        <v>9780748631247</v>
      </c>
      <c r="E352" s="2">
        <v>343576</v>
      </c>
    </row>
    <row r="353" spans="1:5" x14ac:dyDescent="0.25">
      <c r="A353" s="4">
        <v>41976.607037037036</v>
      </c>
      <c r="B353" s="2" t="s">
        <v>2664</v>
      </c>
      <c r="C353" s="2" t="s">
        <v>5</v>
      </c>
      <c r="D353" s="2" t="str">
        <f>"9780857004444"</f>
        <v>9780857004444</v>
      </c>
      <c r="E353" s="2">
        <v>1693672</v>
      </c>
    </row>
    <row r="354" spans="1:5" x14ac:dyDescent="0.25">
      <c r="A354" s="4">
        <v>41994.899085648147</v>
      </c>
      <c r="B354" s="2" t="s">
        <v>1280</v>
      </c>
      <c r="C354" s="2" t="s">
        <v>63</v>
      </c>
      <c r="D354" s="2" t="str">
        <f>"9781400840311"</f>
        <v>9781400840311</v>
      </c>
      <c r="E354" s="2">
        <v>740294</v>
      </c>
    </row>
    <row r="355" spans="1:5" x14ac:dyDescent="0.25">
      <c r="A355" s="4">
        <v>41994.885046296295</v>
      </c>
      <c r="B355" s="2" t="s">
        <v>1974</v>
      </c>
      <c r="C355" s="2" t="s">
        <v>18</v>
      </c>
      <c r="D355" s="2" t="str">
        <f>"9780567035783"</f>
        <v>9780567035783</v>
      </c>
      <c r="E355" s="2">
        <v>1572211</v>
      </c>
    </row>
    <row r="356" spans="1:5" x14ac:dyDescent="0.25">
      <c r="A356" s="4">
        <v>41974.674675925926</v>
      </c>
      <c r="B356" s="2" t="s">
        <v>2935</v>
      </c>
      <c r="C356" s="2" t="s">
        <v>72</v>
      </c>
      <c r="D356" s="2" t="str">
        <f>"9780748628605"</f>
        <v>9780748628605</v>
      </c>
      <c r="E356" s="2">
        <v>536992</v>
      </c>
    </row>
    <row r="357" spans="1:5" x14ac:dyDescent="0.25">
      <c r="A357" s="4">
        <v>41994.884988425925</v>
      </c>
      <c r="B357" s="2" t="s">
        <v>2128</v>
      </c>
      <c r="C357" s="2" t="s">
        <v>18</v>
      </c>
      <c r="D357" s="2" t="str">
        <f>"9781441134936"</f>
        <v>9781441134936</v>
      </c>
      <c r="E357" s="2">
        <v>601767</v>
      </c>
    </row>
    <row r="358" spans="1:5" x14ac:dyDescent="0.25">
      <c r="A358" s="4">
        <v>41975.652708333335</v>
      </c>
      <c r="B358" s="2" t="s">
        <v>2811</v>
      </c>
      <c r="C358" s="2" t="s">
        <v>26</v>
      </c>
      <c r="D358" s="2" t="str">
        <f>"9780730376422"</f>
        <v>9780730376422</v>
      </c>
      <c r="E358" s="2">
        <v>693845</v>
      </c>
    </row>
    <row r="359" spans="1:5" x14ac:dyDescent="0.25">
      <c r="A359" s="4">
        <v>41994.899097222224</v>
      </c>
      <c r="B359" s="2" t="s">
        <v>1254</v>
      </c>
      <c r="C359" s="2" t="s">
        <v>63</v>
      </c>
      <c r="D359" s="2" t="str">
        <f>"9781400842971"</f>
        <v>9781400842971</v>
      </c>
      <c r="E359" s="2">
        <v>831910</v>
      </c>
    </row>
    <row r="360" spans="1:5" x14ac:dyDescent="0.25">
      <c r="A360" s="4">
        <v>41975.619027777779</v>
      </c>
      <c r="B360" s="2" t="s">
        <v>2817</v>
      </c>
      <c r="C360" s="2" t="s">
        <v>5</v>
      </c>
      <c r="D360" s="2" t="str">
        <f>"9781846427152"</f>
        <v>9781846427152</v>
      </c>
      <c r="E360" s="2">
        <v>339423</v>
      </c>
    </row>
    <row r="361" spans="1:5" x14ac:dyDescent="0.25">
      <c r="A361" s="4">
        <v>41994.901944444442</v>
      </c>
      <c r="B361" s="2" t="s">
        <v>911</v>
      </c>
      <c r="C361" s="2" t="s">
        <v>119</v>
      </c>
      <c r="D361" s="2" t="str">
        <f>"9780520946996"</f>
        <v>9780520946996</v>
      </c>
      <c r="E361" s="2">
        <v>579392</v>
      </c>
    </row>
    <row r="362" spans="1:5" x14ac:dyDescent="0.25">
      <c r="A362" s="4">
        <v>41994.901979166665</v>
      </c>
      <c r="B362" s="2" t="s">
        <v>798</v>
      </c>
      <c r="C362" s="2" t="s">
        <v>119</v>
      </c>
      <c r="D362" s="2" t="str">
        <f>"9780520952447"</f>
        <v>9780520952447</v>
      </c>
      <c r="E362" s="2">
        <v>860149</v>
      </c>
    </row>
    <row r="363" spans="1:5" x14ac:dyDescent="0.25">
      <c r="A363" s="4">
        <v>41994.902002314811</v>
      </c>
      <c r="B363" s="2" t="s">
        <v>692</v>
      </c>
      <c r="C363" s="2" t="s">
        <v>119</v>
      </c>
      <c r="D363" s="2" t="str">
        <f>"9780520956513"</f>
        <v>9780520956513</v>
      </c>
      <c r="E363" s="2">
        <v>1429398</v>
      </c>
    </row>
    <row r="364" spans="1:5" x14ac:dyDescent="0.25">
      <c r="A364" s="4">
        <v>41976.693391203706</v>
      </c>
      <c r="B364" s="2" t="s">
        <v>2646</v>
      </c>
      <c r="C364" s="2" t="s">
        <v>63</v>
      </c>
      <c r="D364" s="2" t="str">
        <f>"9781400823406"</f>
        <v>9781400823406</v>
      </c>
      <c r="E364" s="2">
        <v>675893</v>
      </c>
    </row>
    <row r="365" spans="1:5" x14ac:dyDescent="0.25">
      <c r="A365" s="4">
        <v>41994.899108796293</v>
      </c>
      <c r="B365" s="2" t="s">
        <v>1208</v>
      </c>
      <c r="C365" s="2" t="s">
        <v>63</v>
      </c>
      <c r="D365" s="2" t="str">
        <f>"9781400845002"</f>
        <v>9781400845002</v>
      </c>
      <c r="E365" s="2">
        <v>1042906</v>
      </c>
    </row>
    <row r="366" spans="1:5" x14ac:dyDescent="0.25">
      <c r="A366" s="4">
        <v>41975.727037037039</v>
      </c>
      <c r="B366" s="2" t="s">
        <v>2797</v>
      </c>
      <c r="C366" s="2" t="s">
        <v>28</v>
      </c>
      <c r="D366" s="2" t="str">
        <f>"9780253013477"</f>
        <v>9780253013477</v>
      </c>
      <c r="E366" s="2">
        <v>1418456</v>
      </c>
    </row>
    <row r="367" spans="1:5" x14ac:dyDescent="0.25">
      <c r="A367" s="4">
        <v>41975.579224537039</v>
      </c>
      <c r="B367" s="2" t="s">
        <v>2827</v>
      </c>
      <c r="C367" s="2" t="s">
        <v>119</v>
      </c>
      <c r="D367" s="2" t="str">
        <f>"9780520933699"</f>
        <v>9780520933699</v>
      </c>
      <c r="E367" s="2">
        <v>470809</v>
      </c>
    </row>
    <row r="368" spans="1:5" x14ac:dyDescent="0.25">
      <c r="A368" s="4">
        <v>41994.884976851848</v>
      </c>
      <c r="B368" s="2" t="s">
        <v>2149</v>
      </c>
      <c r="C368" s="2" t="s">
        <v>18</v>
      </c>
      <c r="D368" s="2" t="str">
        <f>"9781441192721"</f>
        <v>9781441192721</v>
      </c>
      <c r="E368" s="2">
        <v>472774</v>
      </c>
    </row>
    <row r="369" spans="1:5" x14ac:dyDescent="0.25">
      <c r="A369" s="4">
        <v>41907.742407407408</v>
      </c>
      <c r="B369" s="2" t="s">
        <v>3669</v>
      </c>
      <c r="C369" s="2" t="s">
        <v>1934</v>
      </c>
      <c r="D369" s="2" t="str">
        <f>"9781408134269"</f>
        <v>9781408134269</v>
      </c>
      <c r="E369" s="2">
        <v>655400</v>
      </c>
    </row>
    <row r="370" spans="1:5" x14ac:dyDescent="0.25">
      <c r="A370" s="4">
        <v>41994.901944444442</v>
      </c>
      <c r="B370" s="2" t="s">
        <v>891</v>
      </c>
      <c r="C370" s="2" t="s">
        <v>119</v>
      </c>
      <c r="D370" s="2" t="str">
        <f>"9780520947795"</f>
        <v>9780520947795</v>
      </c>
      <c r="E370" s="2">
        <v>646812</v>
      </c>
    </row>
    <row r="371" spans="1:5" x14ac:dyDescent="0.25">
      <c r="A371" s="4">
        <v>41994.902013888888</v>
      </c>
      <c r="B371" s="2" t="s">
        <v>681</v>
      </c>
      <c r="C371" s="2" t="s">
        <v>119</v>
      </c>
      <c r="D371" s="2" t="str">
        <f>"9780520957084"</f>
        <v>9780520957084</v>
      </c>
      <c r="E371" s="2">
        <v>1579461</v>
      </c>
    </row>
    <row r="372" spans="1:5" x14ac:dyDescent="0.25">
      <c r="A372" s="4">
        <v>41924.790266203701</v>
      </c>
      <c r="B372" s="2" t="s">
        <v>3290</v>
      </c>
      <c r="C372" s="2" t="s">
        <v>119</v>
      </c>
      <c r="D372" s="2" t="str">
        <f>"9780520957282"</f>
        <v>9780520957282</v>
      </c>
      <c r="E372" s="2">
        <v>1687669</v>
      </c>
    </row>
    <row r="373" spans="1:5" x14ac:dyDescent="0.25">
      <c r="A373" s="4">
        <v>41976.59815972222</v>
      </c>
      <c r="B373" s="2" t="s">
        <v>2668</v>
      </c>
      <c r="C373" s="2" t="s">
        <v>63</v>
      </c>
      <c r="D373" s="2" t="str">
        <f>"9781400840458"</f>
        <v>9781400840458</v>
      </c>
      <c r="E373" s="2">
        <v>802239</v>
      </c>
    </row>
    <row r="374" spans="1:5" x14ac:dyDescent="0.25">
      <c r="A374" s="4">
        <v>41983.786608796298</v>
      </c>
      <c r="B374" s="2" t="s">
        <v>2391</v>
      </c>
      <c r="C374" s="2" t="s">
        <v>5</v>
      </c>
      <c r="D374" s="2" t="str">
        <f>"9780857008428"</f>
        <v>9780857008428</v>
      </c>
      <c r="E374" s="2">
        <v>1687056</v>
      </c>
    </row>
    <row r="375" spans="1:5" x14ac:dyDescent="0.25">
      <c r="A375" s="4">
        <v>43244.46802083333</v>
      </c>
      <c r="B375" s="2" t="s">
        <v>22</v>
      </c>
      <c r="C375" s="2" t="s">
        <v>5</v>
      </c>
      <c r="D375" s="2" t="str">
        <f>"9780857008411"</f>
        <v>9780857008411</v>
      </c>
      <c r="E375" s="2">
        <v>1653598</v>
      </c>
    </row>
    <row r="376" spans="1:5" x14ac:dyDescent="0.25">
      <c r="A376" s="4">
        <v>43244.46802083333</v>
      </c>
      <c r="B376" s="2" t="s">
        <v>25</v>
      </c>
      <c r="C376" s="2" t="s">
        <v>26</v>
      </c>
      <c r="D376" s="2" t="str">
        <f>"9781118746295"</f>
        <v>9781118746295</v>
      </c>
      <c r="E376" s="2">
        <v>1598284</v>
      </c>
    </row>
    <row r="377" spans="1:5" x14ac:dyDescent="0.25">
      <c r="A377" s="4">
        <v>41925.759467592594</v>
      </c>
      <c r="B377" s="2" t="s">
        <v>3270</v>
      </c>
      <c r="C377" s="2" t="s">
        <v>72</v>
      </c>
      <c r="D377" s="2" t="str">
        <f>"9780748633340"</f>
        <v>9780748633340</v>
      </c>
      <c r="E377" s="2">
        <v>364840</v>
      </c>
    </row>
    <row r="378" spans="1:5" x14ac:dyDescent="0.25">
      <c r="A378" s="4">
        <v>41994.885057870371</v>
      </c>
      <c r="B378" s="2" t="s">
        <v>1939</v>
      </c>
      <c r="C378" s="2" t="s">
        <v>1934</v>
      </c>
      <c r="D378" s="2" t="str">
        <f>"9781780931128"</f>
        <v>9781780931128</v>
      </c>
      <c r="E378" s="2">
        <v>1751433</v>
      </c>
    </row>
    <row r="379" spans="1:5" x14ac:dyDescent="0.25">
      <c r="A379" s="4">
        <v>41988.446145833332</v>
      </c>
      <c r="B379" s="2" t="s">
        <v>2288</v>
      </c>
      <c r="C379" s="2" t="s">
        <v>26</v>
      </c>
      <c r="D379" s="2" t="str">
        <f>"9781118082812"</f>
        <v>9781118082812</v>
      </c>
      <c r="E379" s="2">
        <v>693608</v>
      </c>
    </row>
    <row r="380" spans="1:5" x14ac:dyDescent="0.25">
      <c r="A380" s="4">
        <v>41984.72583333333</v>
      </c>
      <c r="B380" s="2" t="s">
        <v>2354</v>
      </c>
      <c r="C380" s="2" t="s">
        <v>7</v>
      </c>
      <c r="D380" s="2" t="str">
        <f>"9781848609051"</f>
        <v>9781848609051</v>
      </c>
      <c r="E380" s="2">
        <v>483402</v>
      </c>
    </row>
    <row r="381" spans="1:5" x14ac:dyDescent="0.25">
      <c r="A381" s="4">
        <v>41994.901921296296</v>
      </c>
      <c r="B381" s="2" t="s">
        <v>989</v>
      </c>
      <c r="C381" s="2" t="s">
        <v>119</v>
      </c>
      <c r="D381" s="2" t="str">
        <f>"9780520937727"</f>
        <v>9780520937727</v>
      </c>
      <c r="E381" s="2">
        <v>224777</v>
      </c>
    </row>
    <row r="382" spans="1:5" x14ac:dyDescent="0.25">
      <c r="A382" s="4">
        <v>41994.908194444448</v>
      </c>
      <c r="B382" s="2" t="s">
        <v>301</v>
      </c>
      <c r="C382" s="2" t="s">
        <v>26</v>
      </c>
      <c r="D382" s="2" t="str">
        <f>"9781444392722"</f>
        <v>9781444392722</v>
      </c>
      <c r="E382" s="2">
        <v>624744</v>
      </c>
    </row>
    <row r="383" spans="1:5" x14ac:dyDescent="0.25">
      <c r="A383" s="4">
        <v>41994.90824074074</v>
      </c>
      <c r="B383" s="2" t="s">
        <v>176</v>
      </c>
      <c r="C383" s="2" t="s">
        <v>160</v>
      </c>
      <c r="D383" s="2" t="str">
        <f>"9781444356687"</f>
        <v>9781444356687</v>
      </c>
      <c r="E383" s="2">
        <v>819364</v>
      </c>
    </row>
    <row r="384" spans="1:5" x14ac:dyDescent="0.25">
      <c r="A384" s="4">
        <v>41994.908182870371</v>
      </c>
      <c r="B384" s="2" t="s">
        <v>349</v>
      </c>
      <c r="C384" s="2" t="s">
        <v>26</v>
      </c>
      <c r="D384" s="2" t="str">
        <f>"9780470496855"</f>
        <v>9780470496855</v>
      </c>
      <c r="E384" s="2">
        <v>455869</v>
      </c>
    </row>
    <row r="385" spans="1:5" x14ac:dyDescent="0.25">
      <c r="A385" s="4">
        <v>43140.59039351852</v>
      </c>
      <c r="B385" s="2" t="s">
        <v>104</v>
      </c>
      <c r="C385" s="2" t="s">
        <v>26</v>
      </c>
      <c r="D385" s="2" t="str">
        <f>"9781118748947"</f>
        <v>9781118748947</v>
      </c>
      <c r="E385" s="2">
        <v>1641071</v>
      </c>
    </row>
    <row r="386" spans="1:5" x14ac:dyDescent="0.25">
      <c r="A386" s="4">
        <v>41929.038877314815</v>
      </c>
      <c r="B386" s="2" t="s">
        <v>3186</v>
      </c>
      <c r="C386" s="2" t="s">
        <v>26</v>
      </c>
      <c r="D386" s="2" t="str">
        <f>"9780470532775"</f>
        <v>9780470532775</v>
      </c>
      <c r="E386" s="2">
        <v>433708</v>
      </c>
    </row>
    <row r="387" spans="1:5" x14ac:dyDescent="0.25">
      <c r="A387" s="4">
        <v>41975.393125000002</v>
      </c>
      <c r="B387" s="2" t="s">
        <v>2863</v>
      </c>
      <c r="C387" s="2" t="s">
        <v>36</v>
      </c>
      <c r="D387" s="2" t="str">
        <f>"9781476606323"</f>
        <v>9781476606323</v>
      </c>
      <c r="E387" s="2">
        <v>1336679</v>
      </c>
    </row>
    <row r="388" spans="1:5" x14ac:dyDescent="0.25">
      <c r="A388" s="4">
        <v>41909.860810185186</v>
      </c>
      <c r="B388" s="2" t="s">
        <v>3625</v>
      </c>
      <c r="C388" s="2" t="s">
        <v>1934</v>
      </c>
      <c r="D388" s="2" t="str">
        <f>"9781623567521"</f>
        <v>9781623567521</v>
      </c>
      <c r="E388" s="2">
        <v>1362558</v>
      </c>
    </row>
    <row r="389" spans="1:5" x14ac:dyDescent="0.25">
      <c r="A389" s="4">
        <v>41994.896087962959</v>
      </c>
      <c r="B389" s="2" t="s">
        <v>1611</v>
      </c>
      <c r="C389" s="2" t="s">
        <v>28</v>
      </c>
      <c r="D389" s="2" t="str">
        <f>"9780253110190"</f>
        <v>9780253110190</v>
      </c>
      <c r="E389" s="2">
        <v>252414</v>
      </c>
    </row>
    <row r="390" spans="1:5" x14ac:dyDescent="0.25">
      <c r="A390" s="4">
        <v>41978.699236111112</v>
      </c>
      <c r="B390" s="2" t="s">
        <v>2559</v>
      </c>
      <c r="C390" s="2" t="s">
        <v>96</v>
      </c>
      <c r="D390" s="2" t="str">
        <f>"9780807888872"</f>
        <v>9780807888872</v>
      </c>
      <c r="E390" s="2">
        <v>880170</v>
      </c>
    </row>
    <row r="391" spans="1:5" x14ac:dyDescent="0.25">
      <c r="A391" s="4">
        <v>41929.621157407404</v>
      </c>
      <c r="B391" s="2" t="s">
        <v>3168</v>
      </c>
      <c r="C391" s="2" t="s">
        <v>26</v>
      </c>
      <c r="D391" s="2" t="str">
        <f>"9780470686638"</f>
        <v>9780470686638</v>
      </c>
      <c r="E391" s="2">
        <v>470584</v>
      </c>
    </row>
    <row r="392" spans="1:5" x14ac:dyDescent="0.25">
      <c r="A392" s="4">
        <v>41918.492800925924</v>
      </c>
      <c r="B392" s="2" t="s">
        <v>3437</v>
      </c>
      <c r="C392" s="2" t="s">
        <v>63</v>
      </c>
      <c r="D392" s="2" t="str">
        <f>"9781400850303"</f>
        <v>9781400850303</v>
      </c>
      <c r="E392" s="2">
        <v>1584941</v>
      </c>
    </row>
    <row r="393" spans="1:5" x14ac:dyDescent="0.25">
      <c r="A393" s="4">
        <v>41994.892951388887</v>
      </c>
      <c r="B393" s="2" t="s">
        <v>1627</v>
      </c>
      <c r="C393" s="2" t="s">
        <v>16</v>
      </c>
      <c r="D393" s="2" t="str">
        <f>"9781462516667"</f>
        <v>9781462516667</v>
      </c>
      <c r="E393" s="2">
        <v>1742844</v>
      </c>
    </row>
    <row r="394" spans="1:5" x14ac:dyDescent="0.25">
      <c r="A394" s="4">
        <v>41994.885057870371</v>
      </c>
      <c r="B394" s="2" t="s">
        <v>1956</v>
      </c>
      <c r="C394" s="2" t="s">
        <v>1934</v>
      </c>
      <c r="D394" s="2" t="str">
        <f>"9781623569563"</f>
        <v>9781623569563</v>
      </c>
      <c r="E394" s="2">
        <v>1664073</v>
      </c>
    </row>
    <row r="395" spans="1:5" x14ac:dyDescent="0.25">
      <c r="A395" s="4">
        <v>41994.899143518516</v>
      </c>
      <c r="B395" s="2" t="s">
        <v>1087</v>
      </c>
      <c r="C395" s="2" t="s">
        <v>63</v>
      </c>
      <c r="D395" s="2" t="str">
        <f>"9781400850310"</f>
        <v>9781400850310</v>
      </c>
      <c r="E395" s="2">
        <v>1603115</v>
      </c>
    </row>
    <row r="396" spans="1:5" x14ac:dyDescent="0.25">
      <c r="A396" s="4">
        <v>41994.899085648147</v>
      </c>
      <c r="B396" s="2" t="s">
        <v>1288</v>
      </c>
      <c r="C396" s="2" t="s">
        <v>63</v>
      </c>
      <c r="D396" s="2" t="str">
        <f>"9781400839445"</f>
        <v>9781400839445</v>
      </c>
      <c r="E396" s="2">
        <v>729955</v>
      </c>
    </row>
    <row r="397" spans="1:5" x14ac:dyDescent="0.25">
      <c r="A397" s="4">
        <v>41987.579664351855</v>
      </c>
      <c r="B397" s="2" t="s">
        <v>2317</v>
      </c>
      <c r="C397" s="2" t="s">
        <v>28</v>
      </c>
      <c r="D397" s="2" t="str">
        <f>"9780253006530"</f>
        <v>9780253006530</v>
      </c>
      <c r="E397" s="2">
        <v>816859</v>
      </c>
    </row>
    <row r="398" spans="1:5" x14ac:dyDescent="0.25">
      <c r="A398" s="4">
        <v>41926.321284722224</v>
      </c>
      <c r="B398" s="2" t="s">
        <v>3256</v>
      </c>
      <c r="C398" s="2" t="s">
        <v>26</v>
      </c>
      <c r="D398" s="2" t="str">
        <f>"9780470892206"</f>
        <v>9780470892206</v>
      </c>
      <c r="E398" s="2">
        <v>624361</v>
      </c>
    </row>
    <row r="399" spans="1:5" x14ac:dyDescent="0.25">
      <c r="A399" s="4">
        <v>41994.884988425925</v>
      </c>
      <c r="B399" s="2" t="s">
        <v>2134</v>
      </c>
      <c r="C399" s="2" t="s">
        <v>18</v>
      </c>
      <c r="D399" s="2" t="str">
        <f>"9781441155528"</f>
        <v>9781441155528</v>
      </c>
      <c r="E399" s="2">
        <v>601537</v>
      </c>
    </row>
    <row r="400" spans="1:5" x14ac:dyDescent="0.25">
      <c r="A400" s="4">
        <v>41904.643125000002</v>
      </c>
      <c r="B400" s="2" t="s">
        <v>3771</v>
      </c>
      <c r="C400" s="2" t="s">
        <v>1934</v>
      </c>
      <c r="D400" s="2" t="str">
        <f>"9781408156001"</f>
        <v>9781408156001</v>
      </c>
      <c r="E400" s="2">
        <v>833622</v>
      </c>
    </row>
    <row r="401" spans="1:5" x14ac:dyDescent="0.25">
      <c r="A401" s="4">
        <v>41989.583229166667</v>
      </c>
      <c r="B401" s="2" t="s">
        <v>2254</v>
      </c>
      <c r="C401" s="2" t="s">
        <v>7</v>
      </c>
      <c r="D401" s="2" t="str">
        <f>"9781452264790"</f>
        <v>9781452264790</v>
      </c>
      <c r="E401" s="2">
        <v>996770</v>
      </c>
    </row>
    <row r="402" spans="1:5" x14ac:dyDescent="0.25">
      <c r="A402" s="4">
        <v>41975.971608796295</v>
      </c>
      <c r="B402" s="2" t="s">
        <v>2747</v>
      </c>
      <c r="C402" s="2" t="s">
        <v>26</v>
      </c>
      <c r="D402" s="2" t="str">
        <f>"9780470080108"</f>
        <v>9780470080108</v>
      </c>
      <c r="E402" s="2">
        <v>281839</v>
      </c>
    </row>
    <row r="403" spans="1:5" x14ac:dyDescent="0.25">
      <c r="A403" s="4">
        <v>41930.818171296298</v>
      </c>
      <c r="B403" s="2" t="s">
        <v>3148</v>
      </c>
      <c r="C403" s="2" t="s">
        <v>26</v>
      </c>
      <c r="D403" s="2" t="str">
        <f>"9781118174746"</f>
        <v>9781118174746</v>
      </c>
      <c r="E403" s="2">
        <v>822420</v>
      </c>
    </row>
    <row r="404" spans="1:5" x14ac:dyDescent="0.25">
      <c r="A404" s="4">
        <v>41994.899108796293</v>
      </c>
      <c r="B404" s="2" t="s">
        <v>1209</v>
      </c>
      <c r="C404" s="2" t="s">
        <v>63</v>
      </c>
      <c r="D404" s="2" t="str">
        <f>"9781400844876"</f>
        <v>9781400844876</v>
      </c>
      <c r="E404" s="2">
        <v>1042904</v>
      </c>
    </row>
    <row r="405" spans="1:5" x14ac:dyDescent="0.25">
      <c r="A405" s="4">
        <v>41994.896157407406</v>
      </c>
      <c r="B405" s="2" t="s">
        <v>1484</v>
      </c>
      <c r="C405" s="2" t="s">
        <v>28</v>
      </c>
      <c r="D405" s="2" t="str">
        <f>"9780253008275"</f>
        <v>9780253008275</v>
      </c>
      <c r="E405" s="2">
        <v>1173323</v>
      </c>
    </row>
    <row r="406" spans="1:5" x14ac:dyDescent="0.25">
      <c r="A406" s="4">
        <v>41994.892916666664</v>
      </c>
      <c r="B406" s="2" t="s">
        <v>1725</v>
      </c>
      <c r="C406" s="2" t="s">
        <v>16</v>
      </c>
      <c r="D406" s="2" t="str">
        <f>"9781609180706"</f>
        <v>9781609180706</v>
      </c>
      <c r="E406" s="2">
        <v>670161</v>
      </c>
    </row>
    <row r="407" spans="1:5" x14ac:dyDescent="0.25">
      <c r="A407" s="4">
        <v>41994.899074074077</v>
      </c>
      <c r="B407" s="2" t="s">
        <v>1332</v>
      </c>
      <c r="C407" s="2" t="s">
        <v>63</v>
      </c>
      <c r="D407" s="2" t="str">
        <f>"9781400838608"</f>
        <v>9781400838608</v>
      </c>
      <c r="E407" s="2">
        <v>662356</v>
      </c>
    </row>
    <row r="408" spans="1:5" x14ac:dyDescent="0.25">
      <c r="A408" s="4">
        <v>41994.901898148149</v>
      </c>
      <c r="B408" s="2" t="s">
        <v>1041</v>
      </c>
      <c r="C408" s="2" t="s">
        <v>119</v>
      </c>
      <c r="D408" s="2" t="str">
        <f>"9780520930124"</f>
        <v>9780520930124</v>
      </c>
      <c r="E408" s="2">
        <v>223017</v>
      </c>
    </row>
    <row r="409" spans="1:5" x14ac:dyDescent="0.25">
      <c r="A409" s="4">
        <v>41934.559050925927</v>
      </c>
      <c r="B409" s="2" t="s">
        <v>3059</v>
      </c>
      <c r="C409" s="2" t="s">
        <v>74</v>
      </c>
      <c r="D409" s="2" t="str">
        <f>"9781441186768"</f>
        <v>9781441186768</v>
      </c>
      <c r="E409" s="2">
        <v>686941</v>
      </c>
    </row>
    <row r="410" spans="1:5" x14ac:dyDescent="0.25">
      <c r="A410" s="4">
        <v>41980.761030092595</v>
      </c>
      <c r="B410" s="2" t="s">
        <v>2504</v>
      </c>
      <c r="C410" s="2" t="s">
        <v>2404</v>
      </c>
      <c r="D410" s="2" t="str">
        <f>"9780335247363"</f>
        <v>9780335247363</v>
      </c>
      <c r="E410" s="2">
        <v>1220267</v>
      </c>
    </row>
    <row r="411" spans="1:5" x14ac:dyDescent="0.25">
      <c r="A411" s="4">
        <v>41977.789212962962</v>
      </c>
      <c r="B411" s="2" t="s">
        <v>2591</v>
      </c>
      <c r="C411" s="2" t="s">
        <v>26</v>
      </c>
      <c r="D411" s="2" t="str">
        <f>"9781118182277"</f>
        <v>9781118182277</v>
      </c>
      <c r="E411" s="2">
        <v>817502</v>
      </c>
    </row>
    <row r="412" spans="1:5" x14ac:dyDescent="0.25">
      <c r="A412" s="4">
        <v>41994.908182870371</v>
      </c>
      <c r="B412" s="2" t="s">
        <v>337</v>
      </c>
      <c r="C412" s="2" t="s">
        <v>26</v>
      </c>
      <c r="D412" s="2" t="str">
        <f>"9780470519158"</f>
        <v>9780470519158</v>
      </c>
      <c r="E412" s="2">
        <v>470655</v>
      </c>
    </row>
    <row r="413" spans="1:5" x14ac:dyDescent="0.25">
      <c r="A413" s="4">
        <v>41994.896134259259</v>
      </c>
      <c r="B413" s="2" t="s">
        <v>1523</v>
      </c>
      <c r="C413" s="2" t="s">
        <v>28</v>
      </c>
      <c r="D413" s="2" t="str">
        <f>"9780253001290"</f>
        <v>9780253001290</v>
      </c>
      <c r="E413" s="2">
        <v>816832</v>
      </c>
    </row>
    <row r="414" spans="1:5" x14ac:dyDescent="0.25">
      <c r="A414" s="4">
        <v>41994.896111111113</v>
      </c>
      <c r="B414" s="2" t="s">
        <v>1576</v>
      </c>
      <c r="C414" s="2" t="s">
        <v>28</v>
      </c>
      <c r="D414" s="2" t="str">
        <f>"9780253004659"</f>
        <v>9780253004659</v>
      </c>
      <c r="E414" s="2">
        <v>588789</v>
      </c>
    </row>
    <row r="415" spans="1:5" x14ac:dyDescent="0.25">
      <c r="A415" s="4">
        <v>41994.901909722219</v>
      </c>
      <c r="B415" s="2" t="s">
        <v>1021</v>
      </c>
      <c r="C415" s="2" t="s">
        <v>119</v>
      </c>
      <c r="D415" s="2" t="str">
        <f>"9780520926059"</f>
        <v>9780520926059</v>
      </c>
      <c r="E415" s="2">
        <v>223817</v>
      </c>
    </row>
    <row r="416" spans="1:5" x14ac:dyDescent="0.25">
      <c r="A416" s="4">
        <v>41994.896134259259</v>
      </c>
      <c r="B416" s="2" t="s">
        <v>1541</v>
      </c>
      <c r="C416" s="2" t="s">
        <v>28</v>
      </c>
      <c r="D416" s="2" t="str">
        <f>"9780253000910"</f>
        <v>9780253000910</v>
      </c>
      <c r="E416" s="2">
        <v>713666</v>
      </c>
    </row>
    <row r="417" spans="1:5" x14ac:dyDescent="0.25">
      <c r="A417" s="4">
        <v>41994.899074074077</v>
      </c>
      <c r="B417" s="2" t="s">
        <v>1326</v>
      </c>
      <c r="C417" s="2" t="s">
        <v>63</v>
      </c>
      <c r="D417" s="2" t="str">
        <f>"9781400836529"</f>
        <v>9781400836529</v>
      </c>
      <c r="E417" s="2">
        <v>664581</v>
      </c>
    </row>
    <row r="418" spans="1:5" x14ac:dyDescent="0.25">
      <c r="A418" s="4">
        <v>41994.901944444442</v>
      </c>
      <c r="B418" s="2" t="s">
        <v>909</v>
      </c>
      <c r="C418" s="2" t="s">
        <v>119</v>
      </c>
      <c r="D418" s="2" t="str">
        <f>"9780520947177"</f>
        <v>9780520947177</v>
      </c>
      <c r="E418" s="2">
        <v>579799</v>
      </c>
    </row>
    <row r="419" spans="1:5" x14ac:dyDescent="0.25">
      <c r="A419" s="4">
        <v>41994.905636574076</v>
      </c>
      <c r="B419" s="2" t="s">
        <v>425</v>
      </c>
      <c r="C419" s="2" t="s">
        <v>96</v>
      </c>
      <c r="D419" s="2" t="str">
        <f>"9781469618784"</f>
        <v>9781469618784</v>
      </c>
      <c r="E419" s="2">
        <v>1781372</v>
      </c>
    </row>
    <row r="420" spans="1:5" x14ac:dyDescent="0.25">
      <c r="A420" s="4">
        <v>41994.896111111113</v>
      </c>
      <c r="B420" s="2" t="s">
        <v>1571</v>
      </c>
      <c r="C420" s="2" t="s">
        <v>28</v>
      </c>
      <c r="D420" s="2" t="str">
        <f>"9780253113696"</f>
        <v>9780253113696</v>
      </c>
      <c r="E420" s="2">
        <v>613243</v>
      </c>
    </row>
    <row r="421" spans="1:5" x14ac:dyDescent="0.25">
      <c r="A421" s="4">
        <v>41994.901944444442</v>
      </c>
      <c r="B421" s="2" t="s">
        <v>889</v>
      </c>
      <c r="C421" s="2" t="s">
        <v>119</v>
      </c>
      <c r="D421" s="2" t="str">
        <f>"9780520948389"</f>
        <v>9780520948389</v>
      </c>
      <c r="E421" s="2">
        <v>646815</v>
      </c>
    </row>
    <row r="422" spans="1:5" x14ac:dyDescent="0.25">
      <c r="A422" s="4">
        <v>41994.901956018519</v>
      </c>
      <c r="B422" s="2" t="s">
        <v>850</v>
      </c>
      <c r="C422" s="2" t="s">
        <v>119</v>
      </c>
      <c r="D422" s="2" t="str">
        <f>"9780520950382"</f>
        <v>9780520950382</v>
      </c>
      <c r="E422" s="2">
        <v>735567</v>
      </c>
    </row>
    <row r="423" spans="1:5" x14ac:dyDescent="0.25">
      <c r="A423" s="4">
        <v>41908.685428240744</v>
      </c>
      <c r="B423" s="2" t="s">
        <v>3644</v>
      </c>
      <c r="C423" s="2" t="s">
        <v>16</v>
      </c>
      <c r="D423" s="2" t="str">
        <f>"9781462515394"</f>
        <v>9781462515394</v>
      </c>
      <c r="E423" s="2">
        <v>1675477</v>
      </c>
    </row>
    <row r="424" spans="1:5" x14ac:dyDescent="0.25">
      <c r="A424" s="4">
        <v>41994.892939814818</v>
      </c>
      <c r="B424" s="2" t="s">
        <v>1650</v>
      </c>
      <c r="C424" s="2" t="s">
        <v>16</v>
      </c>
      <c r="D424" s="2" t="str">
        <f>"9781462511808"</f>
        <v>9781462511808</v>
      </c>
      <c r="E424" s="2">
        <v>1367675</v>
      </c>
    </row>
    <row r="425" spans="1:5" x14ac:dyDescent="0.25">
      <c r="A425" s="4">
        <v>41980.95722222222</v>
      </c>
      <c r="B425" s="2" t="s">
        <v>2493</v>
      </c>
      <c r="C425" s="2" t="s">
        <v>16</v>
      </c>
      <c r="D425" s="2" t="str">
        <f>"9781606236659"</f>
        <v>9781606236659</v>
      </c>
      <c r="E425" s="2">
        <v>515886</v>
      </c>
    </row>
    <row r="426" spans="1:5" x14ac:dyDescent="0.25">
      <c r="A426" s="4">
        <v>41870.545497685183</v>
      </c>
      <c r="B426" s="2" t="s">
        <v>3947</v>
      </c>
      <c r="C426" s="2" t="s">
        <v>16</v>
      </c>
      <c r="D426" s="2" t="str">
        <f>"9781609181802"</f>
        <v>9781609181802</v>
      </c>
      <c r="E426" s="2">
        <v>674980</v>
      </c>
    </row>
    <row r="427" spans="1:5" x14ac:dyDescent="0.25">
      <c r="A427" s="4">
        <v>41994.892951388887</v>
      </c>
      <c r="B427" s="2" t="s">
        <v>1626</v>
      </c>
      <c r="C427" s="2" t="s">
        <v>16</v>
      </c>
      <c r="D427" s="2" t="str">
        <f>"9781462517213"</f>
        <v>9781462517213</v>
      </c>
      <c r="E427" s="2">
        <v>1760713</v>
      </c>
    </row>
    <row r="428" spans="1:5" x14ac:dyDescent="0.25">
      <c r="A428" s="4">
        <v>41910.849108796298</v>
      </c>
      <c r="B428" s="2" t="s">
        <v>3612</v>
      </c>
      <c r="C428" s="2" t="s">
        <v>16</v>
      </c>
      <c r="D428" s="2" t="str">
        <f>"9781462510122"</f>
        <v>9781462510122</v>
      </c>
      <c r="E428" s="2">
        <v>1185074</v>
      </c>
    </row>
    <row r="429" spans="1:5" x14ac:dyDescent="0.25">
      <c r="A429" s="4">
        <v>41902.665011574078</v>
      </c>
      <c r="B429" s="2" t="s">
        <v>3804</v>
      </c>
      <c r="C429" s="2" t="s">
        <v>16</v>
      </c>
      <c r="D429" s="2" t="str">
        <f>"9781609189433"</f>
        <v>9781609189433</v>
      </c>
      <c r="E429" s="2">
        <v>793710</v>
      </c>
    </row>
    <row r="430" spans="1:5" x14ac:dyDescent="0.25">
      <c r="A430" s="4">
        <v>41994.908217592594</v>
      </c>
      <c r="B430" s="2" t="s">
        <v>263</v>
      </c>
      <c r="C430" s="2" t="s">
        <v>160</v>
      </c>
      <c r="D430" s="2" t="str">
        <f>"9781118119556"</f>
        <v>9781118119556</v>
      </c>
      <c r="E430" s="2">
        <v>693606</v>
      </c>
    </row>
    <row r="431" spans="1:5" x14ac:dyDescent="0.25">
      <c r="A431" s="4">
        <v>41994.90824074074</v>
      </c>
      <c r="B431" s="2" t="s">
        <v>169</v>
      </c>
      <c r="C431" s="2" t="s">
        <v>160</v>
      </c>
      <c r="D431" s="2" t="str">
        <f>"9781118206010"</f>
        <v>9781118206010</v>
      </c>
      <c r="E431" s="2">
        <v>822403</v>
      </c>
    </row>
    <row r="432" spans="1:5" x14ac:dyDescent="0.25">
      <c r="A432" s="4">
        <v>41994.908229166664</v>
      </c>
      <c r="B432" s="2" t="s">
        <v>223</v>
      </c>
      <c r="C432" s="2" t="s">
        <v>160</v>
      </c>
      <c r="D432" s="2" t="str">
        <f>"9780470943564"</f>
        <v>9780470943564</v>
      </c>
      <c r="E432" s="2">
        <v>700538</v>
      </c>
    </row>
    <row r="433" spans="1:5" x14ac:dyDescent="0.25">
      <c r="A433" s="4">
        <v>41982.423368055555</v>
      </c>
      <c r="B433" s="2" t="s">
        <v>2444</v>
      </c>
      <c r="C433" s="2" t="s">
        <v>63</v>
      </c>
      <c r="D433" s="2" t="str">
        <f>"9781400840052"</f>
        <v>9781400840052</v>
      </c>
      <c r="E433" s="2">
        <v>802235</v>
      </c>
    </row>
    <row r="434" spans="1:5" x14ac:dyDescent="0.25">
      <c r="A434" s="4">
        <v>41994.884965277779</v>
      </c>
      <c r="B434" s="2" t="s">
        <v>2164</v>
      </c>
      <c r="C434" s="2" t="s">
        <v>18</v>
      </c>
      <c r="D434" s="2" t="str">
        <f>"9781847140654"</f>
        <v>9781847140654</v>
      </c>
      <c r="E434" s="2">
        <v>436129</v>
      </c>
    </row>
    <row r="435" spans="1:5" x14ac:dyDescent="0.25">
      <c r="A435" s="4">
        <v>41994.899143518516</v>
      </c>
      <c r="B435" s="2" t="s">
        <v>1085</v>
      </c>
      <c r="C435" s="2" t="s">
        <v>63</v>
      </c>
      <c r="D435" s="2" t="str">
        <f>"9781400850334"</f>
        <v>9781400850334</v>
      </c>
      <c r="E435" s="2">
        <v>1603117</v>
      </c>
    </row>
    <row r="436" spans="1:5" x14ac:dyDescent="0.25">
      <c r="A436" s="4">
        <v>41994.901967592596</v>
      </c>
      <c r="B436" s="2" t="s">
        <v>833</v>
      </c>
      <c r="C436" s="2" t="s">
        <v>119</v>
      </c>
      <c r="D436" s="2" t="str">
        <f>"9780520951914"</f>
        <v>9780520951914</v>
      </c>
      <c r="E436" s="2">
        <v>816158</v>
      </c>
    </row>
    <row r="437" spans="1:5" x14ac:dyDescent="0.25">
      <c r="A437" s="4">
        <v>41994.901921296296</v>
      </c>
      <c r="B437" s="2" t="s">
        <v>979</v>
      </c>
      <c r="C437" s="2" t="s">
        <v>119</v>
      </c>
      <c r="D437" s="2" t="str">
        <f>"9780520938465"</f>
        <v>9780520938465</v>
      </c>
      <c r="E437" s="2">
        <v>231905</v>
      </c>
    </row>
    <row r="438" spans="1:5" x14ac:dyDescent="0.25">
      <c r="A438" s="4">
        <v>41988.520937499998</v>
      </c>
      <c r="B438" s="2" t="s">
        <v>2285</v>
      </c>
      <c r="C438" s="2" t="s">
        <v>63</v>
      </c>
      <c r="D438" s="2" t="str">
        <f>"9781400830855"</f>
        <v>9781400830855</v>
      </c>
      <c r="E438" s="2">
        <v>457860</v>
      </c>
    </row>
    <row r="439" spans="1:5" x14ac:dyDescent="0.25">
      <c r="A439" s="4">
        <v>41934.844699074078</v>
      </c>
      <c r="B439" s="2" t="s">
        <v>3048</v>
      </c>
      <c r="C439" s="2" t="s">
        <v>7</v>
      </c>
      <c r="D439" s="2" t="str">
        <f>"9781452222691"</f>
        <v>9781452222691</v>
      </c>
      <c r="E439" s="2">
        <v>1598331</v>
      </c>
    </row>
    <row r="440" spans="1:5" x14ac:dyDescent="0.25">
      <c r="A440" s="4">
        <v>41994.901932870373</v>
      </c>
      <c r="B440" s="2" t="s">
        <v>946</v>
      </c>
      <c r="C440" s="2" t="s">
        <v>119</v>
      </c>
      <c r="D440" s="2" t="str">
        <f>"9780520911123"</f>
        <v>9780520911123</v>
      </c>
      <c r="E440" s="2">
        <v>470930</v>
      </c>
    </row>
    <row r="441" spans="1:5" x14ac:dyDescent="0.25">
      <c r="A441" s="4">
        <v>41994.905590277776</v>
      </c>
      <c r="B441" s="2" t="s">
        <v>559</v>
      </c>
      <c r="C441" s="2" t="s">
        <v>96</v>
      </c>
      <c r="D441" s="2" t="str">
        <f>"9780807878026"</f>
        <v>9780807878026</v>
      </c>
      <c r="E441" s="2">
        <v>732132</v>
      </c>
    </row>
    <row r="442" spans="1:5" x14ac:dyDescent="0.25">
      <c r="A442" s="4">
        <v>41994.908206018517</v>
      </c>
      <c r="B442" s="2" t="s">
        <v>293</v>
      </c>
      <c r="C442" s="2" t="s">
        <v>26</v>
      </c>
      <c r="D442" s="2" t="str">
        <f>"9781444394948"</f>
        <v>9781444394948</v>
      </c>
      <c r="E442" s="2">
        <v>644986</v>
      </c>
    </row>
    <row r="443" spans="1:5" x14ac:dyDescent="0.25">
      <c r="A443" s="4">
        <v>41994.908206018517</v>
      </c>
      <c r="B443" s="2" t="s">
        <v>296</v>
      </c>
      <c r="C443" s="2" t="s">
        <v>26</v>
      </c>
      <c r="D443" s="2" t="str">
        <f>"9780470940037"</f>
        <v>9780470940037</v>
      </c>
      <c r="E443" s="2">
        <v>644844</v>
      </c>
    </row>
    <row r="444" spans="1:5" x14ac:dyDescent="0.25">
      <c r="A444" s="4">
        <v>41975.489652777775</v>
      </c>
      <c r="B444" s="2" t="s">
        <v>2840</v>
      </c>
      <c r="C444" s="2" t="s">
        <v>36</v>
      </c>
      <c r="D444" s="2" t="str">
        <f>"9781476615165"</f>
        <v>9781476615165</v>
      </c>
      <c r="E444" s="2">
        <v>1637227</v>
      </c>
    </row>
    <row r="445" spans="1:5" x14ac:dyDescent="0.25">
      <c r="A445" s="4">
        <v>41983.993900462963</v>
      </c>
      <c r="B445" s="2" t="s">
        <v>2378</v>
      </c>
      <c r="C445" s="2" t="s">
        <v>26</v>
      </c>
      <c r="D445" s="2" t="str">
        <f>"9780470294079"</f>
        <v>9780470294079</v>
      </c>
      <c r="E445" s="2">
        <v>353431</v>
      </c>
    </row>
    <row r="446" spans="1:5" x14ac:dyDescent="0.25">
      <c r="A446" s="4">
        <v>41994.899074074077</v>
      </c>
      <c r="B446" s="2" t="s">
        <v>1333</v>
      </c>
      <c r="C446" s="2" t="s">
        <v>63</v>
      </c>
      <c r="D446" s="2" t="str">
        <f>"9781400838349"</f>
        <v>9781400838349</v>
      </c>
      <c r="E446" s="2">
        <v>662355</v>
      </c>
    </row>
    <row r="447" spans="1:5" x14ac:dyDescent="0.25">
      <c r="A447" s="4">
        <v>41994.902002314811</v>
      </c>
      <c r="B447" s="2" t="s">
        <v>719</v>
      </c>
      <c r="C447" s="2" t="s">
        <v>119</v>
      </c>
      <c r="D447" s="2" t="str">
        <f>"9780520955387"</f>
        <v>9780520955387</v>
      </c>
      <c r="E447" s="2">
        <v>1132026</v>
      </c>
    </row>
    <row r="448" spans="1:5" x14ac:dyDescent="0.25">
      <c r="A448" s="4">
        <v>41994.908148148148</v>
      </c>
      <c r="B448" s="2" t="s">
        <v>421</v>
      </c>
      <c r="C448" s="2" t="s">
        <v>26</v>
      </c>
      <c r="D448" s="2" t="str">
        <f>"9780787959913"</f>
        <v>9780787959913</v>
      </c>
      <c r="E448" s="2">
        <v>120502</v>
      </c>
    </row>
    <row r="449" spans="1:5" x14ac:dyDescent="0.25">
      <c r="A449" s="4">
        <v>41994.902002314811</v>
      </c>
      <c r="B449" s="2" t="s">
        <v>697</v>
      </c>
      <c r="C449" s="2" t="s">
        <v>119</v>
      </c>
      <c r="D449" s="2" t="str">
        <f>"9780520957022"</f>
        <v>9780520957022</v>
      </c>
      <c r="E449" s="2">
        <v>1323167</v>
      </c>
    </row>
    <row r="450" spans="1:5" x14ac:dyDescent="0.25">
      <c r="A450" s="4">
        <v>41994.901979166665</v>
      </c>
      <c r="B450" s="2" t="s">
        <v>769</v>
      </c>
      <c r="C450" s="2" t="s">
        <v>119</v>
      </c>
      <c r="D450" s="2" t="str">
        <f>"9780520940550"</f>
        <v>9780520940550</v>
      </c>
      <c r="E450" s="2">
        <v>922914</v>
      </c>
    </row>
    <row r="451" spans="1:5" x14ac:dyDescent="0.25">
      <c r="A451" s="4">
        <v>41994.908229166664</v>
      </c>
      <c r="B451" s="2" t="s">
        <v>225</v>
      </c>
      <c r="C451" s="2" t="s">
        <v>26</v>
      </c>
      <c r="D451" s="2" t="str">
        <f>"9781118078327"</f>
        <v>9781118078327</v>
      </c>
      <c r="E451" s="2">
        <v>700450</v>
      </c>
    </row>
    <row r="452" spans="1:5" x14ac:dyDescent="0.25">
      <c r="A452" s="4">
        <v>41975.477314814816</v>
      </c>
      <c r="B452" s="2" t="s">
        <v>2842</v>
      </c>
      <c r="C452" s="2" t="s">
        <v>36</v>
      </c>
      <c r="D452" s="2" t="str">
        <f>"9781476616797"</f>
        <v>9781476616797</v>
      </c>
      <c r="E452" s="2">
        <v>1863929</v>
      </c>
    </row>
    <row r="453" spans="1:5" x14ac:dyDescent="0.25">
      <c r="A453" s="4">
        <v>41994.899131944447</v>
      </c>
      <c r="B453" s="2" t="s">
        <v>1155</v>
      </c>
      <c r="C453" s="2" t="s">
        <v>63</v>
      </c>
      <c r="D453" s="2" t="str">
        <f>"9781400848324"</f>
        <v>9781400848324</v>
      </c>
      <c r="E453" s="2">
        <v>1205615</v>
      </c>
    </row>
    <row r="454" spans="1:5" x14ac:dyDescent="0.25">
      <c r="A454" s="4">
        <v>41925.365763888891</v>
      </c>
      <c r="B454" s="2" t="s">
        <v>3284</v>
      </c>
      <c r="C454" s="2" t="s">
        <v>26</v>
      </c>
      <c r="D454" s="2" t="str">
        <f>"9781118113844"</f>
        <v>9781118113844</v>
      </c>
      <c r="E454" s="2">
        <v>697649</v>
      </c>
    </row>
    <row r="455" spans="1:5" x14ac:dyDescent="0.25">
      <c r="A455" s="4">
        <v>42067.359444444446</v>
      </c>
      <c r="B455" s="2" t="s">
        <v>2250</v>
      </c>
      <c r="C455" s="2" t="s">
        <v>26</v>
      </c>
      <c r="D455" s="2" t="str">
        <f>"9781444359787"</f>
        <v>9781444359787</v>
      </c>
      <c r="E455" s="2">
        <v>819439</v>
      </c>
    </row>
    <row r="456" spans="1:5" x14ac:dyDescent="0.25">
      <c r="A456" s="4">
        <v>41843.535081018519</v>
      </c>
      <c r="B456" s="2" t="s">
        <v>2250</v>
      </c>
      <c r="C456" s="2" t="s">
        <v>26</v>
      </c>
      <c r="D456" s="2" t="str">
        <f>"9781444359787"</f>
        <v>9781444359787</v>
      </c>
      <c r="E456" s="2">
        <v>819439</v>
      </c>
    </row>
    <row r="457" spans="1:5" x14ac:dyDescent="0.25">
      <c r="A457" s="4">
        <v>41994.901944444442</v>
      </c>
      <c r="B457" s="2" t="s">
        <v>896</v>
      </c>
      <c r="C457" s="2" t="s">
        <v>119</v>
      </c>
      <c r="D457" s="2" t="str">
        <f>"9780520947757"</f>
        <v>9780520947757</v>
      </c>
      <c r="E457" s="2">
        <v>622187</v>
      </c>
    </row>
    <row r="458" spans="1:5" x14ac:dyDescent="0.25">
      <c r="A458" s="4">
        <v>41900.706516203703</v>
      </c>
      <c r="B458" s="2" t="s">
        <v>3830</v>
      </c>
      <c r="C458" s="2" t="s">
        <v>26</v>
      </c>
      <c r="D458" s="2" t="str">
        <f>"9781118174654"</f>
        <v>9781118174654</v>
      </c>
      <c r="E458" s="2">
        <v>818992</v>
      </c>
    </row>
    <row r="459" spans="1:5" x14ac:dyDescent="0.25">
      <c r="A459" s="4">
        <v>41907.499618055554</v>
      </c>
      <c r="B459" s="2" t="s">
        <v>3681</v>
      </c>
      <c r="C459" s="2" t="s">
        <v>63</v>
      </c>
      <c r="D459" s="2" t="str">
        <f>"9781400829590"</f>
        <v>9781400829590</v>
      </c>
      <c r="E459" s="2">
        <v>457862</v>
      </c>
    </row>
    <row r="460" spans="1:5" x14ac:dyDescent="0.25">
      <c r="A460" s="4">
        <v>41994.901956018519</v>
      </c>
      <c r="B460" s="2" t="s">
        <v>852</v>
      </c>
      <c r="C460" s="2" t="s">
        <v>119</v>
      </c>
      <c r="D460" s="2" t="str">
        <f>"9780520943339"</f>
        <v>9780520943339</v>
      </c>
      <c r="E460" s="2">
        <v>731892</v>
      </c>
    </row>
    <row r="461" spans="1:5" x14ac:dyDescent="0.25">
      <c r="A461" s="4">
        <v>41974.758935185186</v>
      </c>
      <c r="B461" s="2" t="s">
        <v>2920</v>
      </c>
      <c r="C461" s="2" t="s">
        <v>119</v>
      </c>
      <c r="D461" s="2" t="str">
        <f>"9780520945852"</f>
        <v>9780520945852</v>
      </c>
      <c r="E461" s="2">
        <v>517163</v>
      </c>
    </row>
    <row r="462" spans="1:5" x14ac:dyDescent="0.25">
      <c r="A462" s="4">
        <v>41912.764340277776</v>
      </c>
      <c r="B462" s="2" t="s">
        <v>3552</v>
      </c>
      <c r="C462" s="2" t="s">
        <v>119</v>
      </c>
      <c r="D462" s="2" t="str">
        <f>"9780520953543"</f>
        <v>9780520953543</v>
      </c>
      <c r="E462" s="2">
        <v>1046302</v>
      </c>
    </row>
    <row r="463" spans="1:5" x14ac:dyDescent="0.25">
      <c r="A463" s="4">
        <v>41984.631261574075</v>
      </c>
      <c r="B463" s="2" t="s">
        <v>2359</v>
      </c>
      <c r="C463" s="2" t="s">
        <v>424</v>
      </c>
      <c r="D463" s="2" t="str">
        <f>"9780807876503"</f>
        <v>9780807876503</v>
      </c>
      <c r="E463" s="2">
        <v>413423</v>
      </c>
    </row>
    <row r="464" spans="1:5" x14ac:dyDescent="0.25">
      <c r="A464" s="4">
        <v>41994.899085648147</v>
      </c>
      <c r="B464" s="2" t="s">
        <v>1304</v>
      </c>
      <c r="C464" s="2" t="s">
        <v>63</v>
      </c>
      <c r="D464" s="2" t="str">
        <f>"9781400833979"</f>
        <v>9781400833979</v>
      </c>
      <c r="E464" s="2">
        <v>689266</v>
      </c>
    </row>
    <row r="465" spans="1:5" x14ac:dyDescent="0.25">
      <c r="A465" s="4">
        <v>43244.46802083333</v>
      </c>
      <c r="B465" s="2" t="s">
        <v>8</v>
      </c>
      <c r="C465" s="2" t="s">
        <v>7</v>
      </c>
      <c r="D465" s="2" t="str">
        <f>"9789352804986"</f>
        <v>9789352804986</v>
      </c>
      <c r="E465" s="2">
        <v>5131487</v>
      </c>
    </row>
    <row r="466" spans="1:5" x14ac:dyDescent="0.25">
      <c r="A466" s="4">
        <v>41974.628344907411</v>
      </c>
      <c r="B466" s="2" t="s">
        <v>2943</v>
      </c>
      <c r="C466" s="2" t="s">
        <v>96</v>
      </c>
      <c r="D466" s="2" t="str">
        <f>"9780807899243"</f>
        <v>9780807899243</v>
      </c>
      <c r="E466" s="2">
        <v>605939</v>
      </c>
    </row>
    <row r="467" spans="1:5" x14ac:dyDescent="0.25">
      <c r="A467" s="4">
        <v>41994.905578703707</v>
      </c>
      <c r="B467" s="2" t="s">
        <v>598</v>
      </c>
      <c r="C467" s="2" t="s">
        <v>424</v>
      </c>
      <c r="D467" s="2" t="str">
        <f>"9780807876121"</f>
        <v>9780807876121</v>
      </c>
      <c r="E467" s="2">
        <v>475202</v>
      </c>
    </row>
    <row r="468" spans="1:5" x14ac:dyDescent="0.25">
      <c r="A468" s="4">
        <v>41994.896145833336</v>
      </c>
      <c r="B468" s="2" t="s">
        <v>1512</v>
      </c>
      <c r="C468" s="2" t="s">
        <v>28</v>
      </c>
      <c r="D468" s="2" t="str">
        <f>"9780253006974"</f>
        <v>9780253006974</v>
      </c>
      <c r="E468" s="2">
        <v>816865</v>
      </c>
    </row>
    <row r="469" spans="1:5" x14ac:dyDescent="0.25">
      <c r="A469" s="4">
        <v>41994.896157407406</v>
      </c>
      <c r="B469" s="2" t="s">
        <v>1487</v>
      </c>
      <c r="C469" s="2" t="s">
        <v>28</v>
      </c>
      <c r="D469" s="2" t="str">
        <f>"9780253008107"</f>
        <v>9780253008107</v>
      </c>
      <c r="E469" s="2">
        <v>1164912</v>
      </c>
    </row>
    <row r="470" spans="1:5" x14ac:dyDescent="0.25">
      <c r="A470" s="4">
        <v>41994.889884259261</v>
      </c>
      <c r="B470" s="2" t="s">
        <v>1876</v>
      </c>
      <c r="C470" s="2" t="s">
        <v>72</v>
      </c>
      <c r="D470" s="2" t="str">
        <f>"9780748645459"</f>
        <v>9780748645459</v>
      </c>
      <c r="E470" s="2">
        <v>685054</v>
      </c>
    </row>
    <row r="471" spans="1:5" x14ac:dyDescent="0.25">
      <c r="A471" s="4">
        <v>41988.634317129632</v>
      </c>
      <c r="B471" s="2" t="s">
        <v>2280</v>
      </c>
      <c r="C471" s="2" t="s">
        <v>26</v>
      </c>
      <c r="D471" s="2" t="str">
        <f>"9781118180174"</f>
        <v>9781118180174</v>
      </c>
      <c r="E471" s="2">
        <v>819029</v>
      </c>
    </row>
    <row r="472" spans="1:5" x14ac:dyDescent="0.25">
      <c r="A472" s="4">
        <v>41994.899062500001</v>
      </c>
      <c r="B472" s="2" t="s">
        <v>1352</v>
      </c>
      <c r="C472" s="2" t="s">
        <v>63</v>
      </c>
      <c r="D472" s="2" t="str">
        <f>"9781400836079"</f>
        <v>9781400836079</v>
      </c>
      <c r="E472" s="2">
        <v>590821</v>
      </c>
    </row>
    <row r="473" spans="1:5" x14ac:dyDescent="0.25">
      <c r="A473" s="4">
        <v>41994.902025462965</v>
      </c>
      <c r="B473" s="2" t="s">
        <v>635</v>
      </c>
      <c r="C473" s="2" t="s">
        <v>119</v>
      </c>
      <c r="D473" s="2" t="str">
        <f>"9780520958739"</f>
        <v>9780520958739</v>
      </c>
      <c r="E473" s="2">
        <v>1711048</v>
      </c>
    </row>
    <row r="474" spans="1:5" x14ac:dyDescent="0.25">
      <c r="A474" s="4">
        <v>41994.899074074077</v>
      </c>
      <c r="B474" s="2" t="s">
        <v>1317</v>
      </c>
      <c r="C474" s="2" t="s">
        <v>63</v>
      </c>
      <c r="D474" s="2" t="str">
        <f>"9781400837991"</f>
        <v>9781400837991</v>
      </c>
      <c r="E474" s="2">
        <v>664630</v>
      </c>
    </row>
    <row r="475" spans="1:5" x14ac:dyDescent="0.25">
      <c r="A475" s="4">
        <v>41994.896168981482</v>
      </c>
      <c r="B475" s="2" t="s">
        <v>1466</v>
      </c>
      <c r="C475" s="2" t="s">
        <v>28</v>
      </c>
      <c r="D475" s="2" t="str">
        <f>"9780253011039"</f>
        <v>9780253011039</v>
      </c>
      <c r="E475" s="2">
        <v>1387220</v>
      </c>
    </row>
    <row r="476" spans="1:5" x14ac:dyDescent="0.25">
      <c r="A476" s="4">
        <v>41994.896145833336</v>
      </c>
      <c r="B476" s="2" t="s">
        <v>1508</v>
      </c>
      <c r="C476" s="2" t="s">
        <v>28</v>
      </c>
      <c r="D476" s="2" t="str">
        <f>"9780253007087"</f>
        <v>9780253007087</v>
      </c>
      <c r="E476" s="2">
        <v>816872</v>
      </c>
    </row>
    <row r="477" spans="1:5" x14ac:dyDescent="0.25">
      <c r="A477" s="4">
        <v>41931.388252314813</v>
      </c>
      <c r="B477" s="2" t="s">
        <v>3146</v>
      </c>
      <c r="C477" s="2" t="s">
        <v>424</v>
      </c>
      <c r="D477" s="2" t="str">
        <f>"9780807877173"</f>
        <v>9780807877173</v>
      </c>
      <c r="E477" s="2">
        <v>413334</v>
      </c>
    </row>
    <row r="478" spans="1:5" x14ac:dyDescent="0.25">
      <c r="A478" s="4">
        <v>41899.82603009259</v>
      </c>
      <c r="B478" s="2" t="s">
        <v>3849</v>
      </c>
      <c r="C478" s="2" t="s">
        <v>1934</v>
      </c>
      <c r="D478" s="2" t="str">
        <f>""</f>
        <v/>
      </c>
      <c r="E478" s="2">
        <v>1134857</v>
      </c>
    </row>
    <row r="479" spans="1:5" x14ac:dyDescent="0.25">
      <c r="A479" s="4">
        <v>41994.901979166665</v>
      </c>
      <c r="B479" s="2" t="s">
        <v>776</v>
      </c>
      <c r="C479" s="2" t="s">
        <v>119</v>
      </c>
      <c r="D479" s="2" t="str">
        <f>"9780520951921"</f>
        <v>9780520951921</v>
      </c>
      <c r="E479" s="2">
        <v>902582</v>
      </c>
    </row>
    <row r="480" spans="1:5" x14ac:dyDescent="0.25">
      <c r="A480" s="4">
        <v>41982.938692129632</v>
      </c>
      <c r="B480" s="2" t="s">
        <v>2421</v>
      </c>
      <c r="C480" s="2" t="s">
        <v>96</v>
      </c>
      <c r="D480" s="2" t="str">
        <f>"9780807877913"</f>
        <v>9780807877913</v>
      </c>
      <c r="E480" s="2">
        <v>673638</v>
      </c>
    </row>
    <row r="481" spans="1:5" x14ac:dyDescent="0.25">
      <c r="A481" s="4">
        <v>41934.123472222222</v>
      </c>
      <c r="B481" s="2" t="s">
        <v>3071</v>
      </c>
      <c r="C481" s="2" t="s">
        <v>119</v>
      </c>
      <c r="D481" s="2" t="str">
        <f>"9780520940697"</f>
        <v>9780520940697</v>
      </c>
      <c r="E481" s="2">
        <v>301113</v>
      </c>
    </row>
    <row r="482" spans="1:5" x14ac:dyDescent="0.25">
      <c r="A482" s="4">
        <v>41982.352754629632</v>
      </c>
      <c r="B482" s="2" t="s">
        <v>2451</v>
      </c>
      <c r="C482" s="2" t="s">
        <v>7</v>
      </c>
      <c r="D482" s="2" t="str">
        <f>"9781446202777"</f>
        <v>9781446202777</v>
      </c>
      <c r="E482" s="2">
        <v>1024060</v>
      </c>
    </row>
    <row r="483" spans="1:5" x14ac:dyDescent="0.25">
      <c r="A483" s="4">
        <v>41913.945127314815</v>
      </c>
      <c r="B483" s="2" t="s">
        <v>3528</v>
      </c>
      <c r="C483" s="2" t="s">
        <v>28</v>
      </c>
      <c r="D483" s="2" t="str">
        <f>"9780253004833"</f>
        <v>9780253004833</v>
      </c>
      <c r="E483" s="2">
        <v>613606</v>
      </c>
    </row>
    <row r="484" spans="1:5" x14ac:dyDescent="0.25">
      <c r="A484" s="4">
        <v>41994.902025462965</v>
      </c>
      <c r="B484" s="2" t="s">
        <v>647</v>
      </c>
      <c r="C484" s="2" t="s">
        <v>119</v>
      </c>
      <c r="D484" s="2" t="str">
        <f>"9780520959002"</f>
        <v>9780520959002</v>
      </c>
      <c r="E484" s="2">
        <v>1711008</v>
      </c>
    </row>
    <row r="485" spans="1:5" x14ac:dyDescent="0.25">
      <c r="A485" s="4">
        <v>41924.835601851853</v>
      </c>
      <c r="B485" s="2" t="s">
        <v>3289</v>
      </c>
      <c r="C485" s="2" t="s">
        <v>16</v>
      </c>
      <c r="D485" s="2" t="str">
        <f>"9781609181833"</f>
        <v>9781609181833</v>
      </c>
      <c r="E485" s="2">
        <v>690480</v>
      </c>
    </row>
    <row r="486" spans="1:5" x14ac:dyDescent="0.25">
      <c r="A486" s="4">
        <v>41978.637106481481</v>
      </c>
      <c r="B486" s="2" t="s">
        <v>2564</v>
      </c>
      <c r="C486" s="2" t="s">
        <v>36</v>
      </c>
      <c r="D486" s="2" t="str">
        <f>"9781476603889"</f>
        <v>9781476603889</v>
      </c>
      <c r="E486" s="2">
        <v>1386978</v>
      </c>
    </row>
    <row r="487" spans="1:5" x14ac:dyDescent="0.25">
      <c r="A487" s="4">
        <v>41935.645543981482</v>
      </c>
      <c r="B487" s="2" t="s">
        <v>3017</v>
      </c>
      <c r="C487" s="2" t="s">
        <v>2283</v>
      </c>
      <c r="D487" s="2" t="str">
        <f>"9789027281678"</f>
        <v>9789027281678</v>
      </c>
      <c r="E487" s="2">
        <v>835002</v>
      </c>
    </row>
    <row r="488" spans="1:5" x14ac:dyDescent="0.25">
      <c r="A488" s="4">
        <v>41994.885034722225</v>
      </c>
      <c r="B488" s="2" t="s">
        <v>1999</v>
      </c>
      <c r="C488" s="2" t="s">
        <v>1934</v>
      </c>
      <c r="D488" s="2" t="str">
        <f>"9780857853219"</f>
        <v>9780857853219</v>
      </c>
      <c r="E488" s="2">
        <v>1335912</v>
      </c>
    </row>
    <row r="489" spans="1:5" x14ac:dyDescent="0.25">
      <c r="A489" s="4">
        <v>41902.434155092589</v>
      </c>
      <c r="B489" s="2" t="s">
        <v>3811</v>
      </c>
      <c r="C489" s="2" t="s">
        <v>26</v>
      </c>
      <c r="D489" s="2" t="str">
        <f>"9781118081907"</f>
        <v>9781118081907</v>
      </c>
      <c r="E489" s="2">
        <v>706727</v>
      </c>
    </row>
    <row r="490" spans="1:5" x14ac:dyDescent="0.25">
      <c r="A490" s="4">
        <v>41994.885046296295</v>
      </c>
      <c r="B490" s="2" t="s">
        <v>1983</v>
      </c>
      <c r="C490" s="2" t="s">
        <v>1934</v>
      </c>
      <c r="D490" s="2" t="str">
        <f>"9781472520838"</f>
        <v>9781472520838</v>
      </c>
      <c r="E490" s="2">
        <v>1507641</v>
      </c>
    </row>
    <row r="491" spans="1:5" x14ac:dyDescent="0.25">
      <c r="A491" s="4">
        <v>41994.899108796293</v>
      </c>
      <c r="B491" s="2" t="s">
        <v>1210</v>
      </c>
      <c r="C491" s="2" t="s">
        <v>63</v>
      </c>
      <c r="D491" s="2" t="str">
        <f>"9781400844838"</f>
        <v>9781400844838</v>
      </c>
      <c r="E491" s="2">
        <v>1042902</v>
      </c>
    </row>
    <row r="492" spans="1:5" x14ac:dyDescent="0.25">
      <c r="A492" s="4">
        <v>41974.570393518516</v>
      </c>
      <c r="B492" s="2" t="s">
        <v>2956</v>
      </c>
      <c r="C492" s="2" t="s">
        <v>2170</v>
      </c>
      <c r="D492" s="2" t="str">
        <f>"9781780323787"</f>
        <v>9781780323787</v>
      </c>
      <c r="E492" s="2">
        <v>1183073</v>
      </c>
    </row>
    <row r="493" spans="1:5" x14ac:dyDescent="0.25">
      <c r="A493" s="4">
        <v>41994.908229166664</v>
      </c>
      <c r="B493" s="2" t="s">
        <v>215</v>
      </c>
      <c r="C493" s="2" t="s">
        <v>26</v>
      </c>
      <c r="D493" s="2" t="str">
        <f>"9780470926857"</f>
        <v>9780470926857</v>
      </c>
      <c r="E493" s="2">
        <v>706752</v>
      </c>
    </row>
    <row r="494" spans="1:5" x14ac:dyDescent="0.25">
      <c r="A494" s="4">
        <v>43140.59039351852</v>
      </c>
      <c r="B494" s="2" t="s">
        <v>103</v>
      </c>
      <c r="C494" s="2" t="s">
        <v>26</v>
      </c>
      <c r="D494" s="2" t="str">
        <f>"9781119189121"</f>
        <v>9781119189121</v>
      </c>
      <c r="E494" s="2">
        <v>4405583</v>
      </c>
    </row>
    <row r="495" spans="1:5" x14ac:dyDescent="0.25">
      <c r="A495" s="4">
        <v>41994.878750000003</v>
      </c>
      <c r="B495" s="2" t="s">
        <v>2195</v>
      </c>
      <c r="C495" s="2" t="s">
        <v>2170</v>
      </c>
      <c r="D495" s="2" t="str">
        <f>"9781848138254"</f>
        <v>9781848138254</v>
      </c>
      <c r="E495" s="2">
        <v>959012</v>
      </c>
    </row>
    <row r="496" spans="1:5" x14ac:dyDescent="0.25">
      <c r="A496" s="4">
        <v>41994.905578703707</v>
      </c>
      <c r="B496" s="2" t="s">
        <v>588</v>
      </c>
      <c r="C496" s="2" t="s">
        <v>424</v>
      </c>
      <c r="D496" s="2" t="str">
        <f>"9780807899557"</f>
        <v>9780807899557</v>
      </c>
      <c r="E496" s="2">
        <v>605917</v>
      </c>
    </row>
    <row r="497" spans="1:5" x14ac:dyDescent="0.25">
      <c r="A497" s="4">
        <v>41994.885023148148</v>
      </c>
      <c r="B497" s="2" t="s">
        <v>2043</v>
      </c>
      <c r="C497" s="2" t="s">
        <v>74</v>
      </c>
      <c r="D497" s="2" t="str">
        <f>"9781441169099"</f>
        <v>9781441169099</v>
      </c>
      <c r="E497" s="2">
        <v>1075925</v>
      </c>
    </row>
    <row r="498" spans="1:5" x14ac:dyDescent="0.25">
      <c r="A498" s="4">
        <v>41976.45821759259</v>
      </c>
      <c r="B498" s="2" t="s">
        <v>2710</v>
      </c>
      <c r="C498" s="2" t="s">
        <v>63</v>
      </c>
      <c r="D498" s="2" t="str">
        <f>"9781400832620"</f>
        <v>9781400832620</v>
      </c>
      <c r="E498" s="2">
        <v>664617</v>
      </c>
    </row>
    <row r="499" spans="1:5" x14ac:dyDescent="0.25">
      <c r="A499" s="4">
        <v>41994.905601851853</v>
      </c>
      <c r="B499" s="2" t="s">
        <v>520</v>
      </c>
      <c r="C499" s="2" t="s">
        <v>96</v>
      </c>
      <c r="D499" s="2" t="str">
        <f>"9780807869703"</f>
        <v>9780807869703</v>
      </c>
      <c r="E499" s="2">
        <v>880139</v>
      </c>
    </row>
    <row r="500" spans="1:5" x14ac:dyDescent="0.25">
      <c r="A500" s="4">
        <v>41934.256562499999</v>
      </c>
      <c r="B500" s="2" t="s">
        <v>3070</v>
      </c>
      <c r="C500" s="2" t="s">
        <v>119</v>
      </c>
      <c r="D500" s="2" t="str">
        <f>"9780520953482"</f>
        <v>9780520953482</v>
      </c>
      <c r="E500" s="2">
        <v>1031889</v>
      </c>
    </row>
    <row r="501" spans="1:5" x14ac:dyDescent="0.25">
      <c r="A501" s="4">
        <v>41994.899039351854</v>
      </c>
      <c r="B501" s="2" t="s">
        <v>1425</v>
      </c>
      <c r="C501" s="2" t="s">
        <v>63</v>
      </c>
      <c r="D501" s="2" t="str">
        <f>"9781400825875"</f>
        <v>9781400825875</v>
      </c>
      <c r="E501" s="2">
        <v>445509</v>
      </c>
    </row>
    <row r="502" spans="1:5" x14ac:dyDescent="0.25">
      <c r="A502" s="4">
        <v>43131.353483796294</v>
      </c>
      <c r="B502" s="2" t="s">
        <v>116</v>
      </c>
      <c r="C502" s="2" t="s">
        <v>36</v>
      </c>
      <c r="D502" s="2" t="str">
        <f>"9781476628028"</f>
        <v>9781476628028</v>
      </c>
      <c r="E502" s="2">
        <v>4850701</v>
      </c>
    </row>
    <row r="503" spans="1:5" x14ac:dyDescent="0.25">
      <c r="A503" s="4">
        <v>41994.901932870373</v>
      </c>
      <c r="B503" s="2" t="s">
        <v>923</v>
      </c>
      <c r="C503" s="2" t="s">
        <v>119</v>
      </c>
      <c r="D503" s="2" t="str">
        <f>"9780520945517"</f>
        <v>9780520945517</v>
      </c>
      <c r="E503" s="2">
        <v>547583</v>
      </c>
    </row>
    <row r="504" spans="1:5" x14ac:dyDescent="0.25">
      <c r="A504" s="4">
        <v>41994.905636574076</v>
      </c>
      <c r="B504" s="2" t="s">
        <v>431</v>
      </c>
      <c r="C504" s="2" t="s">
        <v>424</v>
      </c>
      <c r="D504" s="2" t="str">
        <f>"9781469610849"</f>
        <v>9781469610849</v>
      </c>
      <c r="E504" s="2">
        <v>1725700</v>
      </c>
    </row>
    <row r="505" spans="1:5" x14ac:dyDescent="0.25">
      <c r="A505" s="4">
        <v>41924.585462962961</v>
      </c>
      <c r="B505" s="2" t="s">
        <v>3295</v>
      </c>
      <c r="C505" s="2" t="s">
        <v>26</v>
      </c>
      <c r="D505" s="2" t="str">
        <f>"9780470940600"</f>
        <v>9780470940600</v>
      </c>
      <c r="E505" s="2">
        <v>589122</v>
      </c>
    </row>
    <row r="506" spans="1:5" x14ac:dyDescent="0.25">
      <c r="A506" s="4">
        <v>41917.566608796296</v>
      </c>
      <c r="B506" s="2" t="s">
        <v>3459</v>
      </c>
      <c r="C506" s="2" t="s">
        <v>36</v>
      </c>
      <c r="D506" s="2" t="str">
        <f>"9780786456277"</f>
        <v>9780786456277</v>
      </c>
      <c r="E506" s="2">
        <v>537559</v>
      </c>
    </row>
    <row r="507" spans="1:5" x14ac:dyDescent="0.25">
      <c r="A507" s="4">
        <v>41994.905590277776</v>
      </c>
      <c r="B507" s="2" t="s">
        <v>578</v>
      </c>
      <c r="C507" s="2" t="s">
        <v>96</v>
      </c>
      <c r="D507" s="2" t="str">
        <f>"9780807899670"</f>
        <v>9780807899670</v>
      </c>
      <c r="E507" s="2">
        <v>655806</v>
      </c>
    </row>
    <row r="508" spans="1:5" x14ac:dyDescent="0.25">
      <c r="A508" s="4">
        <v>41994.899074074077</v>
      </c>
      <c r="B508" s="2" t="s">
        <v>1315</v>
      </c>
      <c r="C508" s="2" t="s">
        <v>63</v>
      </c>
      <c r="D508" s="2" t="str">
        <f>"9781400838080"</f>
        <v>9781400838080</v>
      </c>
      <c r="E508" s="2">
        <v>664636</v>
      </c>
    </row>
    <row r="509" spans="1:5" x14ac:dyDescent="0.25">
      <c r="A509" s="4">
        <v>41994.905578703707</v>
      </c>
      <c r="B509" s="2" t="s">
        <v>586</v>
      </c>
      <c r="C509" s="2" t="s">
        <v>96</v>
      </c>
      <c r="D509" s="2" t="str">
        <f>"9780807899656"</f>
        <v>9780807899656</v>
      </c>
      <c r="E509" s="2">
        <v>605925</v>
      </c>
    </row>
    <row r="510" spans="1:5" x14ac:dyDescent="0.25">
      <c r="A510" s="4">
        <v>41928.838796296295</v>
      </c>
      <c r="B510" s="2" t="s">
        <v>3189</v>
      </c>
      <c r="C510" s="2" t="s">
        <v>424</v>
      </c>
      <c r="D510" s="2" t="str">
        <f>"9780807894118"</f>
        <v>9780807894118</v>
      </c>
      <c r="E510" s="2">
        <v>454797</v>
      </c>
    </row>
    <row r="511" spans="1:5" x14ac:dyDescent="0.25">
      <c r="A511" s="4">
        <v>41988.44358796296</v>
      </c>
      <c r="B511" s="2" t="s">
        <v>2293</v>
      </c>
      <c r="C511" s="2" t="s">
        <v>2170</v>
      </c>
      <c r="D511" s="2" t="str">
        <f>"9781780324326"</f>
        <v>9781780324326</v>
      </c>
      <c r="E511" s="2">
        <v>1812473</v>
      </c>
    </row>
    <row r="512" spans="1:5" x14ac:dyDescent="0.25">
      <c r="A512" s="4">
        <v>41994.902013888888</v>
      </c>
      <c r="B512" s="2" t="s">
        <v>660</v>
      </c>
      <c r="C512" s="2" t="s">
        <v>119</v>
      </c>
      <c r="D512" s="2" t="str">
        <f>"9780520958425"</f>
        <v>9780520958425</v>
      </c>
      <c r="E512" s="2">
        <v>1686846</v>
      </c>
    </row>
    <row r="513" spans="1:5" x14ac:dyDescent="0.25">
      <c r="A513" s="4">
        <v>41994.901944444442</v>
      </c>
      <c r="B513" s="2" t="s">
        <v>902</v>
      </c>
      <c r="C513" s="2" t="s">
        <v>119</v>
      </c>
      <c r="D513" s="2" t="str">
        <f>"9780520947900"</f>
        <v>9780520947900</v>
      </c>
      <c r="E513" s="2">
        <v>613126</v>
      </c>
    </row>
    <row r="514" spans="1:5" x14ac:dyDescent="0.25">
      <c r="A514" s="4">
        <v>41994.896180555559</v>
      </c>
      <c r="B514" s="2" t="s">
        <v>1442</v>
      </c>
      <c r="C514" s="2" t="s">
        <v>28</v>
      </c>
      <c r="D514" s="2" t="str">
        <f>"9780253012760"</f>
        <v>9780253012760</v>
      </c>
      <c r="E514" s="2">
        <v>1782262</v>
      </c>
    </row>
    <row r="515" spans="1:5" x14ac:dyDescent="0.25">
      <c r="A515" s="4">
        <v>41994.885011574072</v>
      </c>
      <c r="B515" s="2" t="s">
        <v>2084</v>
      </c>
      <c r="C515" s="2" t="s">
        <v>74</v>
      </c>
      <c r="D515" s="2" t="str">
        <f>"9781441136732"</f>
        <v>9781441136732</v>
      </c>
      <c r="E515" s="2">
        <v>743012</v>
      </c>
    </row>
    <row r="516" spans="1:5" x14ac:dyDescent="0.25">
      <c r="A516" s="4">
        <v>41977.324074074073</v>
      </c>
      <c r="B516" s="2" t="s">
        <v>2619</v>
      </c>
      <c r="C516" s="2" t="s">
        <v>119</v>
      </c>
      <c r="D516" s="2" t="str">
        <f>"9780520957886"</f>
        <v>9780520957886</v>
      </c>
      <c r="E516" s="2">
        <v>1711006</v>
      </c>
    </row>
    <row r="517" spans="1:5" x14ac:dyDescent="0.25">
      <c r="A517" s="4">
        <v>41935.610497685186</v>
      </c>
      <c r="B517" s="2" t="s">
        <v>3025</v>
      </c>
      <c r="C517" s="2" t="s">
        <v>26</v>
      </c>
      <c r="D517" s="2" t="str">
        <f>"9781118061855"</f>
        <v>9781118061855</v>
      </c>
      <c r="E517" s="2">
        <v>661595</v>
      </c>
    </row>
    <row r="518" spans="1:5" x14ac:dyDescent="0.25">
      <c r="A518" s="4">
        <v>41994.908229166664</v>
      </c>
      <c r="B518" s="2" t="s">
        <v>221</v>
      </c>
      <c r="C518" s="2" t="s">
        <v>160</v>
      </c>
      <c r="D518" s="2" t="str">
        <f>"9781444395914"</f>
        <v>9781444395914</v>
      </c>
      <c r="E518" s="2">
        <v>700646</v>
      </c>
    </row>
    <row r="519" spans="1:5" x14ac:dyDescent="0.25">
      <c r="A519" s="4">
        <v>41994.892951388887</v>
      </c>
      <c r="B519" s="2" t="s">
        <v>1629</v>
      </c>
      <c r="C519" s="2" t="s">
        <v>16</v>
      </c>
      <c r="D519" s="2" t="str">
        <f>"9781462515875"</f>
        <v>9781462515875</v>
      </c>
      <c r="E519" s="2">
        <v>1742840</v>
      </c>
    </row>
    <row r="520" spans="1:5" x14ac:dyDescent="0.25">
      <c r="A520" s="4">
        <v>41994.908217592594</v>
      </c>
      <c r="B520" s="2" t="s">
        <v>256</v>
      </c>
      <c r="C520" s="2" t="s">
        <v>26</v>
      </c>
      <c r="D520" s="2" t="str">
        <f>"9781118101810"</f>
        <v>9781118101810</v>
      </c>
      <c r="E520" s="2">
        <v>697559</v>
      </c>
    </row>
    <row r="521" spans="1:5" x14ac:dyDescent="0.25">
      <c r="A521" s="4">
        <v>41994.905636574076</v>
      </c>
      <c r="B521" s="2" t="s">
        <v>441</v>
      </c>
      <c r="C521" s="2" t="s">
        <v>96</v>
      </c>
      <c r="D521" s="2" t="str">
        <f>"9781469614526"</f>
        <v>9781469614526</v>
      </c>
      <c r="E521" s="2">
        <v>1663549</v>
      </c>
    </row>
    <row r="522" spans="1:5" x14ac:dyDescent="0.25">
      <c r="A522" s="4">
        <v>41994.892939814818</v>
      </c>
      <c r="B522" s="2" t="s">
        <v>1662</v>
      </c>
      <c r="C522" s="2" t="s">
        <v>16</v>
      </c>
      <c r="D522" s="2" t="str">
        <f>"9781462508259"</f>
        <v>9781462508259</v>
      </c>
      <c r="E522" s="2">
        <v>1115202</v>
      </c>
    </row>
    <row r="523" spans="1:5" x14ac:dyDescent="0.25">
      <c r="A523" s="4">
        <v>41994.885034722225</v>
      </c>
      <c r="B523" s="2" t="s">
        <v>2014</v>
      </c>
      <c r="C523" s="2" t="s">
        <v>18</v>
      </c>
      <c r="D523" s="2" t="str">
        <f>"9781441106353"</f>
        <v>9781441106353</v>
      </c>
      <c r="E523" s="2">
        <v>1224239</v>
      </c>
    </row>
    <row r="524" spans="1:5" x14ac:dyDescent="0.25">
      <c r="A524" s="4">
        <v>41994.885011574072</v>
      </c>
      <c r="B524" s="2" t="s">
        <v>2083</v>
      </c>
      <c r="C524" s="2" t="s">
        <v>18</v>
      </c>
      <c r="D524" s="2" t="str">
        <f>"9780826434609"</f>
        <v>9780826434609</v>
      </c>
      <c r="E524" s="2">
        <v>743052</v>
      </c>
    </row>
    <row r="525" spans="1:5" x14ac:dyDescent="0.25">
      <c r="A525" s="4">
        <v>41994.885000000002</v>
      </c>
      <c r="B525" s="2" t="s">
        <v>2100</v>
      </c>
      <c r="C525" s="2" t="s">
        <v>18</v>
      </c>
      <c r="D525" s="2" t="str">
        <f>"9781441128676"</f>
        <v>9781441128676</v>
      </c>
      <c r="E525" s="2">
        <v>711014</v>
      </c>
    </row>
    <row r="526" spans="1:5" x14ac:dyDescent="0.25">
      <c r="A526" s="4">
        <v>41994.889872685184</v>
      </c>
      <c r="B526" s="2" t="s">
        <v>1900</v>
      </c>
      <c r="C526" s="2" t="s">
        <v>72</v>
      </c>
      <c r="D526" s="2" t="str">
        <f>"9780748633845"</f>
        <v>9780748633845</v>
      </c>
      <c r="E526" s="2">
        <v>537024</v>
      </c>
    </row>
    <row r="527" spans="1:5" x14ac:dyDescent="0.25">
      <c r="A527" s="4">
        <v>41905.775138888886</v>
      </c>
      <c r="B527" s="2" t="s">
        <v>3733</v>
      </c>
      <c r="C527" s="2" t="s">
        <v>18</v>
      </c>
      <c r="D527" s="2" t="str">
        <f>"9780826421036"</f>
        <v>9780826421036</v>
      </c>
      <c r="E527" s="2">
        <v>495356</v>
      </c>
    </row>
    <row r="528" spans="1:5" x14ac:dyDescent="0.25">
      <c r="A528" s="4">
        <v>41918.840312499997</v>
      </c>
      <c r="B528" s="2" t="s">
        <v>3415</v>
      </c>
      <c r="C528" s="2" t="s">
        <v>96</v>
      </c>
      <c r="D528" s="2" t="str">
        <f>"9781469615714"</f>
        <v>9781469615714</v>
      </c>
      <c r="E528" s="2">
        <v>1663475</v>
      </c>
    </row>
    <row r="529" spans="1:5" x14ac:dyDescent="0.25">
      <c r="A529" s="4">
        <v>41994.901921296296</v>
      </c>
      <c r="B529" s="2" t="s">
        <v>988</v>
      </c>
      <c r="C529" s="2" t="s">
        <v>119</v>
      </c>
      <c r="D529" s="2" t="str">
        <f>"9780520937161"</f>
        <v>9780520937161</v>
      </c>
      <c r="E529" s="2">
        <v>224779</v>
      </c>
    </row>
    <row r="530" spans="1:5" x14ac:dyDescent="0.25">
      <c r="A530" s="4">
        <v>41899.563923611109</v>
      </c>
      <c r="B530" s="2" t="s">
        <v>3856</v>
      </c>
      <c r="C530" s="2" t="s">
        <v>26</v>
      </c>
      <c r="D530" s="2" t="str">
        <f>"9780470923122"</f>
        <v>9780470923122</v>
      </c>
      <c r="E530" s="2">
        <v>700535</v>
      </c>
    </row>
    <row r="531" spans="1:5" x14ac:dyDescent="0.25">
      <c r="A531" s="4">
        <v>41994.896134259259</v>
      </c>
      <c r="B531" s="2" t="s">
        <v>1519</v>
      </c>
      <c r="C531" s="2" t="s">
        <v>28</v>
      </c>
      <c r="D531" s="2" t="str">
        <f>"9780253001900"</f>
        <v>9780253001900</v>
      </c>
      <c r="E531" s="2">
        <v>816841</v>
      </c>
    </row>
    <row r="532" spans="1:5" x14ac:dyDescent="0.25">
      <c r="A532" s="4">
        <v>41925.827152777776</v>
      </c>
      <c r="B532" s="2" t="s">
        <v>3262</v>
      </c>
      <c r="C532" s="2" t="s">
        <v>36</v>
      </c>
      <c r="D532" s="2" t="str">
        <f>"9780786453740"</f>
        <v>9780786453740</v>
      </c>
      <c r="E532" s="2">
        <v>1594738</v>
      </c>
    </row>
    <row r="533" spans="1:5" x14ac:dyDescent="0.25">
      <c r="A533" s="4">
        <v>41994.905578703707</v>
      </c>
      <c r="B533" s="2" t="s">
        <v>596</v>
      </c>
      <c r="C533" s="2" t="s">
        <v>424</v>
      </c>
      <c r="D533" s="2" t="str">
        <f>"9780807898345"</f>
        <v>9780807898345</v>
      </c>
      <c r="E533" s="2">
        <v>565690</v>
      </c>
    </row>
    <row r="534" spans="1:5" x14ac:dyDescent="0.25">
      <c r="A534" s="4">
        <v>41994.905636574076</v>
      </c>
      <c r="B534" s="2" t="s">
        <v>437</v>
      </c>
      <c r="C534" s="2" t="s">
        <v>96</v>
      </c>
      <c r="D534" s="2" t="str">
        <f>"9781469615547"</f>
        <v>9781469615547</v>
      </c>
      <c r="E534" s="2">
        <v>1663560</v>
      </c>
    </row>
    <row r="535" spans="1:5" x14ac:dyDescent="0.25">
      <c r="A535" s="4">
        <v>41919.423206018517</v>
      </c>
      <c r="B535" s="2" t="s">
        <v>3401</v>
      </c>
      <c r="C535" s="2" t="s">
        <v>26</v>
      </c>
      <c r="D535" s="2" t="str">
        <f>"9780470986639"</f>
        <v>9780470986639</v>
      </c>
      <c r="E535" s="2">
        <v>406485</v>
      </c>
    </row>
    <row r="536" spans="1:5" x14ac:dyDescent="0.25">
      <c r="A536" s="4">
        <v>41892.322152777779</v>
      </c>
      <c r="B536" s="2" t="s">
        <v>3889</v>
      </c>
      <c r="C536" s="2" t="s">
        <v>26</v>
      </c>
      <c r="D536" s="2" t="str">
        <f>"9780787988661"</f>
        <v>9780787988661</v>
      </c>
      <c r="E536" s="2">
        <v>284513</v>
      </c>
    </row>
    <row r="537" spans="1:5" x14ac:dyDescent="0.25">
      <c r="A537" s="4">
        <v>41929.523321759261</v>
      </c>
      <c r="B537" s="2" t="s">
        <v>3174</v>
      </c>
      <c r="C537" s="2" t="s">
        <v>205</v>
      </c>
      <c r="D537" s="2" t="str">
        <f>"9780470378526"</f>
        <v>9780470378526</v>
      </c>
      <c r="E537" s="2">
        <v>353383</v>
      </c>
    </row>
    <row r="538" spans="1:5" x14ac:dyDescent="0.25">
      <c r="A538" s="4">
        <v>41994.901990740742</v>
      </c>
      <c r="B538" s="2" t="s">
        <v>736</v>
      </c>
      <c r="C538" s="2" t="s">
        <v>119</v>
      </c>
      <c r="D538" s="2" t="str">
        <f>"9780520953420"</f>
        <v>9780520953420</v>
      </c>
      <c r="E538" s="2">
        <v>1092954</v>
      </c>
    </row>
    <row r="539" spans="1:5" x14ac:dyDescent="0.25">
      <c r="A539" s="4">
        <v>41994.905613425923</v>
      </c>
      <c r="B539" s="2" t="s">
        <v>510</v>
      </c>
      <c r="C539" s="2" t="s">
        <v>424</v>
      </c>
      <c r="D539" s="2" t="str">
        <f>"9780807877357"</f>
        <v>9780807877357</v>
      </c>
      <c r="E539" s="2">
        <v>880468</v>
      </c>
    </row>
    <row r="540" spans="1:5" x14ac:dyDescent="0.25">
      <c r="A540" s="4">
        <v>41892.843900462962</v>
      </c>
      <c r="B540" s="2" t="s">
        <v>3886</v>
      </c>
      <c r="C540" s="2" t="s">
        <v>16</v>
      </c>
      <c r="D540" s="2" t="str">
        <f>"9781606233184"</f>
        <v>9781606233184</v>
      </c>
      <c r="E540" s="2">
        <v>454794</v>
      </c>
    </row>
    <row r="541" spans="1:5" x14ac:dyDescent="0.25">
      <c r="A541" s="4">
        <v>41899.871608796297</v>
      </c>
      <c r="B541" s="2" t="s">
        <v>3846</v>
      </c>
      <c r="C541" s="2" t="s">
        <v>26</v>
      </c>
      <c r="D541" s="2" t="str">
        <f>"9780787971229"</f>
        <v>9780787971229</v>
      </c>
      <c r="E541" s="2">
        <v>157996</v>
      </c>
    </row>
    <row r="542" spans="1:5" x14ac:dyDescent="0.25">
      <c r="A542" s="4">
        <v>41912.254155092596</v>
      </c>
      <c r="B542" s="2" t="s">
        <v>3576</v>
      </c>
      <c r="C542" s="2" t="s">
        <v>171</v>
      </c>
      <c r="D542" s="2" t="str">
        <f>"9780730377894"</f>
        <v>9780730377894</v>
      </c>
      <c r="E542" s="2">
        <v>818685</v>
      </c>
    </row>
    <row r="543" spans="1:5" x14ac:dyDescent="0.25">
      <c r="A543" s="4">
        <v>41982.708611111113</v>
      </c>
      <c r="B543" s="2" t="s">
        <v>2425</v>
      </c>
      <c r="C543" s="2" t="s">
        <v>7</v>
      </c>
      <c r="D543" s="2" t="str">
        <f>"9780857021816"</f>
        <v>9780857021816</v>
      </c>
      <c r="E543" s="2">
        <v>483320</v>
      </c>
    </row>
    <row r="544" spans="1:5" x14ac:dyDescent="0.25">
      <c r="A544" s="4">
        <v>41856.714004629626</v>
      </c>
      <c r="B544" s="2" t="s">
        <v>3965</v>
      </c>
      <c r="C544" s="2" t="s">
        <v>16</v>
      </c>
      <c r="D544" s="2" t="str">
        <f>"9781606230831"</f>
        <v>9781606230831</v>
      </c>
      <c r="E544" s="2">
        <v>465666</v>
      </c>
    </row>
    <row r="545" spans="1:5" x14ac:dyDescent="0.25">
      <c r="A545" s="4">
        <v>41994.908194444448</v>
      </c>
      <c r="B545" s="2" t="s">
        <v>329</v>
      </c>
      <c r="C545" s="2" t="s">
        <v>26</v>
      </c>
      <c r="D545" s="2" t="str">
        <f>"9780470639573"</f>
        <v>9780470639573</v>
      </c>
      <c r="E545" s="2">
        <v>487665</v>
      </c>
    </row>
    <row r="546" spans="1:5" x14ac:dyDescent="0.25">
      <c r="A546" s="4">
        <v>41918.820185185185</v>
      </c>
      <c r="B546" s="2" t="s">
        <v>3416</v>
      </c>
      <c r="C546" s="2" t="s">
        <v>7</v>
      </c>
      <c r="D546" s="2" t="str">
        <f>"9781849205429"</f>
        <v>9781849205429</v>
      </c>
      <c r="E546" s="2">
        <v>448456</v>
      </c>
    </row>
    <row r="547" spans="1:5" x14ac:dyDescent="0.25">
      <c r="A547" s="4">
        <v>41994.908229166664</v>
      </c>
      <c r="B547" s="2" t="s">
        <v>199</v>
      </c>
      <c r="C547" s="2" t="s">
        <v>26</v>
      </c>
      <c r="D547" s="2" t="str">
        <f>"9781118161609"</f>
        <v>9781118161609</v>
      </c>
      <c r="E547" s="2">
        <v>817389</v>
      </c>
    </row>
    <row r="548" spans="1:5" x14ac:dyDescent="0.25">
      <c r="A548" s="4">
        <v>41924.765405092592</v>
      </c>
      <c r="B548" s="2" t="s">
        <v>3291</v>
      </c>
      <c r="C548" s="2" t="s">
        <v>26</v>
      </c>
      <c r="D548" s="2" t="str">
        <f>"9780470901038"</f>
        <v>9780470901038</v>
      </c>
      <c r="E548" s="2">
        <v>581476</v>
      </c>
    </row>
    <row r="549" spans="1:5" x14ac:dyDescent="0.25">
      <c r="A549" s="4">
        <v>41933.341273148151</v>
      </c>
      <c r="B549" s="2" t="s">
        <v>3098</v>
      </c>
      <c r="C549" s="2" t="s">
        <v>424</v>
      </c>
      <c r="D549" s="2" t="str">
        <f>"9780807860014"</f>
        <v>9780807860014</v>
      </c>
      <c r="E549" s="2">
        <v>413219</v>
      </c>
    </row>
    <row r="550" spans="1:5" x14ac:dyDescent="0.25">
      <c r="A550" s="4">
        <v>41975.742418981485</v>
      </c>
      <c r="B550" s="2" t="s">
        <v>2794</v>
      </c>
      <c r="C550" s="2" t="s">
        <v>26</v>
      </c>
      <c r="D550" s="2" t="str">
        <f>"9781119994305"</f>
        <v>9781119994305</v>
      </c>
      <c r="E550" s="2">
        <v>699507</v>
      </c>
    </row>
    <row r="551" spans="1:5" x14ac:dyDescent="0.25">
      <c r="A551" s="4">
        <v>41994.899143518516</v>
      </c>
      <c r="B551" s="2" t="s">
        <v>1097</v>
      </c>
      <c r="C551" s="2" t="s">
        <v>63</v>
      </c>
      <c r="D551" s="2" t="str">
        <f>"9781400850099"</f>
        <v>9781400850099</v>
      </c>
      <c r="E551" s="2">
        <v>1577201</v>
      </c>
    </row>
    <row r="552" spans="1:5" x14ac:dyDescent="0.25">
      <c r="A552" s="4">
        <v>41994.885057870371</v>
      </c>
      <c r="B552" s="2" t="s">
        <v>1937</v>
      </c>
      <c r="C552" s="2" t="s">
        <v>18</v>
      </c>
      <c r="D552" s="2" t="str">
        <f>"9781780937366"</f>
        <v>9781780937366</v>
      </c>
      <c r="E552" s="2">
        <v>1769099</v>
      </c>
    </row>
    <row r="553" spans="1:5" x14ac:dyDescent="0.25">
      <c r="A553" s="4">
        <v>41994.902025462965</v>
      </c>
      <c r="B553" s="2" t="s">
        <v>641</v>
      </c>
      <c r="C553" s="2" t="s">
        <v>119</v>
      </c>
      <c r="D553" s="2" t="str">
        <f>"9780520959354"</f>
        <v>9780520959354</v>
      </c>
      <c r="E553" s="2">
        <v>1711035</v>
      </c>
    </row>
    <row r="554" spans="1:5" x14ac:dyDescent="0.25">
      <c r="A554" s="4">
        <v>41994.901956018519</v>
      </c>
      <c r="B554" s="2" t="s">
        <v>851</v>
      </c>
      <c r="C554" s="2" t="s">
        <v>119</v>
      </c>
      <c r="D554" s="2" t="str">
        <f>"9780520943148"</f>
        <v>9780520943148</v>
      </c>
      <c r="E554" s="2">
        <v>731893</v>
      </c>
    </row>
    <row r="555" spans="1:5" x14ac:dyDescent="0.25">
      <c r="A555" s="4">
        <v>41903.770636574074</v>
      </c>
      <c r="B555" s="2" t="s">
        <v>3791</v>
      </c>
      <c r="C555" s="2" t="s">
        <v>1934</v>
      </c>
      <c r="D555" s="2" t="str">
        <f>"9781441163233"</f>
        <v>9781441163233</v>
      </c>
      <c r="E555" s="2">
        <v>601485</v>
      </c>
    </row>
    <row r="556" spans="1:5" x14ac:dyDescent="0.25">
      <c r="A556" s="4">
        <v>41994.899155092593</v>
      </c>
      <c r="B556" s="2" t="s">
        <v>1058</v>
      </c>
      <c r="C556" s="2" t="s">
        <v>63</v>
      </c>
      <c r="D556" s="2" t="str">
        <f>"9781400851706"</f>
        <v>9781400851706</v>
      </c>
      <c r="E556" s="2">
        <v>1707057</v>
      </c>
    </row>
    <row r="557" spans="1:5" x14ac:dyDescent="0.25">
      <c r="A557" s="4">
        <v>41904.987592592595</v>
      </c>
      <c r="B557" s="2" t="s">
        <v>3756</v>
      </c>
      <c r="C557" s="2" t="s">
        <v>26</v>
      </c>
      <c r="D557" s="2" t="str">
        <f>"9781444303285"</f>
        <v>9781444303285</v>
      </c>
      <c r="E557" s="2">
        <v>416374</v>
      </c>
    </row>
    <row r="558" spans="1:5" x14ac:dyDescent="0.25">
      <c r="A558" s="4">
        <v>43203.625590277778</v>
      </c>
      <c r="B558" s="2" t="s">
        <v>56</v>
      </c>
      <c r="C558" s="2" t="s">
        <v>5</v>
      </c>
      <c r="D558" s="2" t="str">
        <f>"9781784505264"</f>
        <v>9781784505264</v>
      </c>
      <c r="E558" s="2">
        <v>4794388</v>
      </c>
    </row>
    <row r="559" spans="1:5" x14ac:dyDescent="0.25">
      <c r="A559" s="4">
        <v>41934.92386574074</v>
      </c>
      <c r="B559" s="2" t="s">
        <v>3043</v>
      </c>
      <c r="C559" s="2" t="s">
        <v>26</v>
      </c>
      <c r="D559" s="2" t="str">
        <f>"9781444324457"</f>
        <v>9781444324457</v>
      </c>
      <c r="E559" s="2">
        <v>644941</v>
      </c>
    </row>
    <row r="560" spans="1:5" x14ac:dyDescent="0.25">
      <c r="A560" s="4">
        <v>41981.340520833335</v>
      </c>
      <c r="B560" s="2" t="s">
        <v>2481</v>
      </c>
      <c r="C560" s="2" t="s">
        <v>119</v>
      </c>
      <c r="D560" s="2" t="str">
        <f>"9780520954571"</f>
        <v>9780520954571</v>
      </c>
      <c r="E560" s="2">
        <v>1249494</v>
      </c>
    </row>
    <row r="561" spans="1:5" x14ac:dyDescent="0.25">
      <c r="A561" s="4">
        <v>41933.824780092589</v>
      </c>
      <c r="B561" s="2" t="s">
        <v>3079</v>
      </c>
      <c r="C561" s="2" t="s">
        <v>119</v>
      </c>
      <c r="D561" s="2" t="str">
        <f>"9780520958708"</f>
        <v>9780520958708</v>
      </c>
      <c r="E561" s="2">
        <v>1711023</v>
      </c>
    </row>
    <row r="562" spans="1:5" x14ac:dyDescent="0.25">
      <c r="A562" s="4">
        <v>43244.46802083333</v>
      </c>
      <c r="B562" s="2" t="s">
        <v>17</v>
      </c>
      <c r="C562" s="2" t="s">
        <v>18</v>
      </c>
      <c r="D562" s="2" t="str">
        <f>"9781474297981"</f>
        <v>9781474297981</v>
      </c>
      <c r="E562" s="2">
        <v>4812154</v>
      </c>
    </row>
    <row r="563" spans="1:5" x14ac:dyDescent="0.25">
      <c r="A563" s="4">
        <v>41994.905613425923</v>
      </c>
      <c r="B563" s="2" t="s">
        <v>508</v>
      </c>
      <c r="C563" s="2" t="s">
        <v>424</v>
      </c>
      <c r="D563" s="2" t="str">
        <f>"9781469606453"</f>
        <v>9781469606453</v>
      </c>
      <c r="E563" s="2">
        <v>934352</v>
      </c>
    </row>
    <row r="564" spans="1:5" x14ac:dyDescent="0.25">
      <c r="A564" s="4">
        <v>41869.364930555559</v>
      </c>
      <c r="B564" s="2" t="s">
        <v>3950</v>
      </c>
      <c r="C564" s="2" t="s">
        <v>26</v>
      </c>
      <c r="D564" s="2" t="str">
        <f>"9780471446422"</f>
        <v>9780471446422</v>
      </c>
      <c r="E564" s="2">
        <v>468882</v>
      </c>
    </row>
    <row r="565" spans="1:5" x14ac:dyDescent="0.25">
      <c r="A565" s="4">
        <v>41913.408449074072</v>
      </c>
      <c r="B565" s="2" t="s">
        <v>3543</v>
      </c>
      <c r="C565" s="2" t="s">
        <v>26</v>
      </c>
      <c r="D565" s="2" t="str">
        <f>"9781118044544"</f>
        <v>9781118044544</v>
      </c>
      <c r="E565" s="2">
        <v>697536</v>
      </c>
    </row>
    <row r="566" spans="1:5" x14ac:dyDescent="0.25">
      <c r="A566" s="4">
        <v>41994.878750000003</v>
      </c>
      <c r="B566" s="2" t="s">
        <v>2198</v>
      </c>
      <c r="C566" s="2" t="s">
        <v>2170</v>
      </c>
      <c r="D566" s="2" t="str">
        <f>"9781780322018"</f>
        <v>9781780322018</v>
      </c>
      <c r="E566" s="2">
        <v>896259</v>
      </c>
    </row>
    <row r="567" spans="1:5" x14ac:dyDescent="0.25">
      <c r="A567" s="4">
        <v>41994.905624999999</v>
      </c>
      <c r="B567" s="2" t="s">
        <v>466</v>
      </c>
      <c r="C567" s="2" t="s">
        <v>96</v>
      </c>
      <c r="D567" s="2" t="str">
        <f>"9781469619491"</f>
        <v>9781469619491</v>
      </c>
      <c r="E567" s="2">
        <v>1656080</v>
      </c>
    </row>
    <row r="568" spans="1:5" x14ac:dyDescent="0.25">
      <c r="A568" s="4">
        <v>41994.899062500001</v>
      </c>
      <c r="B568" s="2" t="s">
        <v>1386</v>
      </c>
      <c r="C568" s="2" t="s">
        <v>63</v>
      </c>
      <c r="D568" s="2" t="str">
        <f>"9781400834365"</f>
        <v>9781400834365</v>
      </c>
      <c r="E568" s="2">
        <v>483576</v>
      </c>
    </row>
    <row r="569" spans="1:5" x14ac:dyDescent="0.25">
      <c r="A569" s="4">
        <v>41932.424166666664</v>
      </c>
      <c r="B569" s="2" t="s">
        <v>3125</v>
      </c>
      <c r="C569" s="2" t="s">
        <v>119</v>
      </c>
      <c r="D569" s="2" t="str">
        <f>"9780520947351"</f>
        <v>9780520947351</v>
      </c>
      <c r="E569" s="2">
        <v>579794</v>
      </c>
    </row>
    <row r="570" spans="1:5" x14ac:dyDescent="0.25">
      <c r="A570" s="4">
        <v>41931.900868055556</v>
      </c>
      <c r="B570" s="2" t="s">
        <v>3131</v>
      </c>
      <c r="C570" s="2" t="s">
        <v>26</v>
      </c>
      <c r="D570" s="2" t="str">
        <f>"9780787966522"</f>
        <v>9780787966522</v>
      </c>
      <c r="E570" s="2">
        <v>139881</v>
      </c>
    </row>
    <row r="571" spans="1:5" x14ac:dyDescent="0.25">
      <c r="A571" s="4">
        <v>41975.349305555559</v>
      </c>
      <c r="B571" s="2" t="s">
        <v>2869</v>
      </c>
      <c r="C571" s="2" t="s">
        <v>119</v>
      </c>
      <c r="D571" s="2" t="str">
        <f>"9780520957343"</f>
        <v>9780520957343</v>
      </c>
      <c r="E571" s="2">
        <v>1342614</v>
      </c>
    </row>
    <row r="572" spans="1:5" x14ac:dyDescent="0.25">
      <c r="A572" s="4">
        <v>41903.527002314811</v>
      </c>
      <c r="B572" s="2" t="s">
        <v>3797</v>
      </c>
      <c r="C572" s="2" t="s">
        <v>7</v>
      </c>
      <c r="D572" s="2" t="str">
        <f>"9781446264607"</f>
        <v>9781446264607</v>
      </c>
      <c r="E572" s="2">
        <v>1024084</v>
      </c>
    </row>
    <row r="573" spans="1:5" x14ac:dyDescent="0.25">
      <c r="A573" s="4">
        <v>41914.66070601852</v>
      </c>
      <c r="B573" s="2" t="s">
        <v>3511</v>
      </c>
      <c r="C573" s="2" t="s">
        <v>7</v>
      </c>
      <c r="D573" s="2" t="str">
        <f>"9781446264072"</f>
        <v>9781446264072</v>
      </c>
      <c r="E573" s="2">
        <v>1024106</v>
      </c>
    </row>
    <row r="574" spans="1:5" x14ac:dyDescent="0.25">
      <c r="A574" s="4">
        <v>41994.899074074077</v>
      </c>
      <c r="B574" s="2" t="s">
        <v>1323</v>
      </c>
      <c r="C574" s="2" t="s">
        <v>63</v>
      </c>
      <c r="D574" s="2" t="str">
        <f>"9781400838240"</f>
        <v>9781400838240</v>
      </c>
      <c r="E574" s="2">
        <v>664596</v>
      </c>
    </row>
    <row r="575" spans="1:5" x14ac:dyDescent="0.25">
      <c r="A575" s="4">
        <v>41994.90824074074</v>
      </c>
      <c r="B575" s="2" t="s">
        <v>163</v>
      </c>
      <c r="C575" s="2" t="s">
        <v>26</v>
      </c>
      <c r="D575" s="2" t="str">
        <f>"9781119959991"</f>
        <v>9781119959991</v>
      </c>
      <c r="E575" s="2">
        <v>822576</v>
      </c>
    </row>
    <row r="576" spans="1:5" x14ac:dyDescent="0.25">
      <c r="A576" s="4">
        <v>41974.842372685183</v>
      </c>
      <c r="B576" s="2" t="s">
        <v>2907</v>
      </c>
      <c r="C576" s="2" t="s">
        <v>7</v>
      </c>
      <c r="D576" s="2" t="str">
        <f>"9781446205365"</f>
        <v>9781446205365</v>
      </c>
      <c r="E576" s="2">
        <v>743724</v>
      </c>
    </row>
    <row r="577" spans="1:5" x14ac:dyDescent="0.25">
      <c r="A577" s="4">
        <v>41984.606782407405</v>
      </c>
      <c r="B577" s="2" t="s">
        <v>2364</v>
      </c>
      <c r="C577" s="2" t="s">
        <v>18</v>
      </c>
      <c r="D577" s="2" t="str">
        <f>"9781441159069"</f>
        <v>9781441159069</v>
      </c>
      <c r="E577" s="2">
        <v>564247</v>
      </c>
    </row>
    <row r="578" spans="1:5" x14ac:dyDescent="0.25">
      <c r="A578" s="4">
        <v>43154.405787037038</v>
      </c>
      <c r="B578" s="2" t="s">
        <v>90</v>
      </c>
      <c r="C578" s="2" t="s">
        <v>7</v>
      </c>
      <c r="D578" s="2" t="str">
        <f>"9781473926837"</f>
        <v>9781473926837</v>
      </c>
      <c r="E578" s="2">
        <v>4853040</v>
      </c>
    </row>
    <row r="579" spans="1:5" x14ac:dyDescent="0.25">
      <c r="A579" s="4">
        <v>41994.908229166664</v>
      </c>
      <c r="B579" s="2" t="s">
        <v>220</v>
      </c>
      <c r="C579" s="2" t="s">
        <v>26</v>
      </c>
      <c r="D579" s="2" t="str">
        <f>"9780470717042"</f>
        <v>9780470717042</v>
      </c>
      <c r="E579" s="2">
        <v>703795</v>
      </c>
    </row>
    <row r="580" spans="1:5" x14ac:dyDescent="0.25">
      <c r="A580" s="4">
        <v>41909.412164351852</v>
      </c>
      <c r="B580" s="2" t="s">
        <v>3632</v>
      </c>
      <c r="C580" s="2" t="s">
        <v>63</v>
      </c>
      <c r="D580" s="2" t="str">
        <f>"9781400840946"</f>
        <v>9781400840946</v>
      </c>
      <c r="E580" s="2">
        <v>776369</v>
      </c>
    </row>
    <row r="581" spans="1:5" x14ac:dyDescent="0.25">
      <c r="A581" s="4">
        <v>41994.901956018519</v>
      </c>
      <c r="B581" s="2" t="s">
        <v>853</v>
      </c>
      <c r="C581" s="2" t="s">
        <v>119</v>
      </c>
      <c r="D581" s="2" t="str">
        <f>"9780520950535"</f>
        <v>9780520950535</v>
      </c>
      <c r="E581" s="2">
        <v>730041</v>
      </c>
    </row>
    <row r="582" spans="1:5" x14ac:dyDescent="0.25">
      <c r="A582" s="4">
        <v>41974.762835648151</v>
      </c>
      <c r="B582" s="2" t="s">
        <v>2919</v>
      </c>
      <c r="C582" s="2" t="s">
        <v>26</v>
      </c>
      <c r="D582" s="2" t="str">
        <f>"9783527614660"</f>
        <v>9783527614660</v>
      </c>
      <c r="E582" s="2">
        <v>481690</v>
      </c>
    </row>
    <row r="583" spans="1:5" x14ac:dyDescent="0.25">
      <c r="A583" s="4">
        <v>43136.461273148147</v>
      </c>
      <c r="B583" s="2" t="s">
        <v>115</v>
      </c>
      <c r="C583" s="2" t="s">
        <v>5</v>
      </c>
      <c r="D583" s="2" t="str">
        <f>"9781784502980"</f>
        <v>9781784502980</v>
      </c>
      <c r="E583" s="2">
        <v>4784950</v>
      </c>
    </row>
    <row r="584" spans="1:5" x14ac:dyDescent="0.25">
      <c r="A584" s="4">
        <v>41889.436111111114</v>
      </c>
      <c r="B584" s="2" t="s">
        <v>3899</v>
      </c>
      <c r="C584" s="2" t="s">
        <v>26</v>
      </c>
      <c r="D584" s="2" t="str">
        <f>"9781444319170"</f>
        <v>9781444319170</v>
      </c>
      <c r="E584" s="2">
        <v>477864</v>
      </c>
    </row>
    <row r="585" spans="1:5" x14ac:dyDescent="0.25">
      <c r="A585" s="4">
        <v>42878.571527777778</v>
      </c>
      <c r="B585" s="2" t="s">
        <v>141</v>
      </c>
      <c r="C585" s="2" t="s">
        <v>16</v>
      </c>
      <c r="D585" s="2" t="str">
        <f>"9781462529018"</f>
        <v>9781462529018</v>
      </c>
      <c r="E585" s="2">
        <v>4830591</v>
      </c>
    </row>
    <row r="586" spans="1:5" x14ac:dyDescent="0.25">
      <c r="A586" s="4">
        <v>41984.98673611111</v>
      </c>
      <c r="B586" s="2" t="s">
        <v>2345</v>
      </c>
      <c r="C586" s="2" t="s">
        <v>26</v>
      </c>
      <c r="D586" s="2" t="str">
        <f>"9780470644683"</f>
        <v>9780470644683</v>
      </c>
      <c r="E586" s="2">
        <v>573762</v>
      </c>
    </row>
    <row r="587" spans="1:5" x14ac:dyDescent="0.25">
      <c r="A587" s="4">
        <v>41976.555937500001</v>
      </c>
      <c r="B587" s="2" t="s">
        <v>2687</v>
      </c>
      <c r="C587" s="2" t="s">
        <v>119</v>
      </c>
      <c r="D587" s="2" t="str">
        <f>"9780520947436"</f>
        <v>9780520947436</v>
      </c>
      <c r="E587" s="2">
        <v>646810</v>
      </c>
    </row>
    <row r="588" spans="1:5" x14ac:dyDescent="0.25">
      <c r="A588" s="4">
        <v>41994.896099537036</v>
      </c>
      <c r="B588" s="2" t="s">
        <v>1588</v>
      </c>
      <c r="C588" s="2" t="s">
        <v>28</v>
      </c>
      <c r="D588" s="2" t="str">
        <f>"9780253003959"</f>
        <v>9780253003959</v>
      </c>
      <c r="E588" s="2">
        <v>501420</v>
      </c>
    </row>
    <row r="589" spans="1:5" x14ac:dyDescent="0.25">
      <c r="A589" s="4">
        <v>41922.010208333333</v>
      </c>
      <c r="B589" s="2" t="s">
        <v>3326</v>
      </c>
      <c r="C589" s="2" t="s">
        <v>28</v>
      </c>
      <c r="D589" s="2" t="str">
        <f>"9780253004987"</f>
        <v>9780253004987</v>
      </c>
      <c r="E589" s="2">
        <v>670259</v>
      </c>
    </row>
    <row r="590" spans="1:5" x14ac:dyDescent="0.25">
      <c r="A590" s="4">
        <v>41979.502916666665</v>
      </c>
      <c r="B590" s="2" t="s">
        <v>2544</v>
      </c>
      <c r="C590" s="2" t="s">
        <v>63</v>
      </c>
      <c r="D590" s="2" t="str">
        <f>"9781400825509"</f>
        <v>9781400825509</v>
      </c>
      <c r="E590" s="2">
        <v>457938</v>
      </c>
    </row>
    <row r="591" spans="1:5" x14ac:dyDescent="0.25">
      <c r="A591" s="4">
        <v>41994.885034722225</v>
      </c>
      <c r="B591" s="2" t="s">
        <v>2007</v>
      </c>
      <c r="C591" s="2" t="s">
        <v>18</v>
      </c>
      <c r="D591" s="2" t="str">
        <f>"9781472519672"</f>
        <v>9781472519672</v>
      </c>
      <c r="E591" s="2">
        <v>1310723</v>
      </c>
    </row>
    <row r="592" spans="1:5" x14ac:dyDescent="0.25">
      <c r="A592" s="4">
        <v>41994.908206018517</v>
      </c>
      <c r="B592" s="2" t="s">
        <v>273</v>
      </c>
      <c r="C592" s="2" t="s">
        <v>26</v>
      </c>
      <c r="D592" s="2" t="str">
        <f>"9781119971573"</f>
        <v>9781119971573</v>
      </c>
      <c r="E592" s="2">
        <v>693270</v>
      </c>
    </row>
    <row r="593" spans="1:5" x14ac:dyDescent="0.25">
      <c r="A593" s="4">
        <v>41908.446284722224</v>
      </c>
      <c r="B593" s="2" t="s">
        <v>3653</v>
      </c>
      <c r="C593" s="2" t="s">
        <v>26</v>
      </c>
      <c r="D593" s="2" t="str">
        <f>"9780470977514"</f>
        <v>9780470977514</v>
      </c>
      <c r="E593" s="2">
        <v>644953</v>
      </c>
    </row>
    <row r="594" spans="1:5" x14ac:dyDescent="0.25">
      <c r="A594" s="4">
        <v>41994.89912037037</v>
      </c>
      <c r="B594" s="2" t="s">
        <v>1176</v>
      </c>
      <c r="C594" s="2" t="s">
        <v>63</v>
      </c>
      <c r="D594" s="2" t="str">
        <f>"9781400846023"</f>
        <v>9781400846023</v>
      </c>
      <c r="E594" s="2">
        <v>1131671</v>
      </c>
    </row>
    <row r="595" spans="1:5" x14ac:dyDescent="0.25">
      <c r="A595" s="4">
        <v>41994.90824074074</v>
      </c>
      <c r="B595" s="2" t="s">
        <v>172</v>
      </c>
      <c r="C595" s="2" t="s">
        <v>26</v>
      </c>
      <c r="D595" s="2" t="str">
        <f>"9781118275344"</f>
        <v>9781118275344</v>
      </c>
      <c r="E595" s="2">
        <v>821969</v>
      </c>
    </row>
    <row r="596" spans="1:5" x14ac:dyDescent="0.25">
      <c r="A596" s="4">
        <v>41994.901956018519</v>
      </c>
      <c r="B596" s="2" t="s">
        <v>864</v>
      </c>
      <c r="C596" s="2" t="s">
        <v>119</v>
      </c>
      <c r="D596" s="2" t="str">
        <f>"9780520950191"</f>
        <v>9780520950191</v>
      </c>
      <c r="E596" s="2">
        <v>718657</v>
      </c>
    </row>
    <row r="597" spans="1:5" x14ac:dyDescent="0.25">
      <c r="A597" s="4">
        <v>41994.905601851853</v>
      </c>
      <c r="B597" s="2" t="s">
        <v>525</v>
      </c>
      <c r="C597" s="2" t="s">
        <v>96</v>
      </c>
      <c r="D597" s="2" t="str">
        <f>"9780807898871"</f>
        <v>9780807898871</v>
      </c>
      <c r="E597" s="2">
        <v>880024</v>
      </c>
    </row>
    <row r="598" spans="1:5" x14ac:dyDescent="0.25">
      <c r="A598" s="4">
        <v>41994.905578703707</v>
      </c>
      <c r="B598" s="2" t="s">
        <v>600</v>
      </c>
      <c r="C598" s="2" t="s">
        <v>96</v>
      </c>
      <c r="D598" s="2" t="str">
        <f>"9780807898505"</f>
        <v>9780807898505</v>
      </c>
      <c r="E598" s="2">
        <v>475174</v>
      </c>
    </row>
    <row r="599" spans="1:5" x14ac:dyDescent="0.25">
      <c r="A599" s="4">
        <v>41994.899050925924</v>
      </c>
      <c r="B599" s="2" t="s">
        <v>1391</v>
      </c>
      <c r="C599" s="2" t="s">
        <v>63</v>
      </c>
      <c r="D599" s="2" t="str">
        <f>"9781400831852"</f>
        <v>9781400831852</v>
      </c>
      <c r="E599" s="2">
        <v>483520</v>
      </c>
    </row>
    <row r="600" spans="1:5" x14ac:dyDescent="0.25">
      <c r="A600" s="4">
        <v>41975.983148148145</v>
      </c>
      <c r="B600" s="2" t="s">
        <v>2743</v>
      </c>
      <c r="C600" s="2" t="s">
        <v>96</v>
      </c>
      <c r="D600" s="2" t="str">
        <f>"9780807877692"</f>
        <v>9780807877692</v>
      </c>
      <c r="E600" s="2">
        <v>680719</v>
      </c>
    </row>
    <row r="601" spans="1:5" x14ac:dyDescent="0.25">
      <c r="A601" s="4">
        <v>41994.901932870373</v>
      </c>
      <c r="B601" s="2" t="s">
        <v>949</v>
      </c>
      <c r="C601" s="2" t="s">
        <v>119</v>
      </c>
      <c r="D601" s="2" t="str">
        <f>"9780520945975"</f>
        <v>9780520945975</v>
      </c>
      <c r="E601" s="2">
        <v>470907</v>
      </c>
    </row>
    <row r="602" spans="1:5" x14ac:dyDescent="0.25">
      <c r="A602" s="4">
        <v>41975.651412037034</v>
      </c>
      <c r="B602" s="2" t="s">
        <v>2812</v>
      </c>
      <c r="C602" s="2" t="s">
        <v>160</v>
      </c>
      <c r="D602" s="2" t="str">
        <f>"9781444356830"</f>
        <v>9781444356830</v>
      </c>
      <c r="E602" s="2">
        <v>822668</v>
      </c>
    </row>
    <row r="603" spans="1:5" x14ac:dyDescent="0.25">
      <c r="A603" s="4">
        <v>41904.564270833333</v>
      </c>
      <c r="B603" s="2" t="s">
        <v>3773</v>
      </c>
      <c r="C603" s="2" t="s">
        <v>1934</v>
      </c>
      <c r="D603" s="2" t="str">
        <f>"9781408175804"</f>
        <v>9781408175804</v>
      </c>
      <c r="E603" s="2">
        <v>863164</v>
      </c>
    </row>
    <row r="604" spans="1:5" x14ac:dyDescent="0.25">
      <c r="A604" s="4">
        <v>41885.627511574072</v>
      </c>
      <c r="B604" s="2" t="s">
        <v>3904</v>
      </c>
      <c r="C604" s="2" t="s">
        <v>1934</v>
      </c>
      <c r="D604" s="2" t="str">
        <f>"9781408176238"</f>
        <v>9781408176238</v>
      </c>
      <c r="E604" s="2">
        <v>912464</v>
      </c>
    </row>
    <row r="605" spans="1:5" x14ac:dyDescent="0.25">
      <c r="A605" s="4">
        <v>41994.905601851853</v>
      </c>
      <c r="B605" s="2" t="s">
        <v>535</v>
      </c>
      <c r="C605" s="2" t="s">
        <v>96</v>
      </c>
      <c r="D605" s="2" t="str">
        <f>"9780807869413"</f>
        <v>9780807869413</v>
      </c>
      <c r="E605" s="2">
        <v>875596</v>
      </c>
    </row>
    <row r="606" spans="1:5" x14ac:dyDescent="0.25">
      <c r="A606" s="4">
        <v>41994.905601851853</v>
      </c>
      <c r="B606" s="2" t="s">
        <v>523</v>
      </c>
      <c r="C606" s="2" t="s">
        <v>96</v>
      </c>
      <c r="D606" s="2" t="str">
        <f>"9780807887608"</f>
        <v>9780807887608</v>
      </c>
      <c r="E606" s="2">
        <v>880033</v>
      </c>
    </row>
    <row r="607" spans="1:5" x14ac:dyDescent="0.25">
      <c r="A607" s="4">
        <v>41982.518206018518</v>
      </c>
      <c r="B607" s="2" t="s">
        <v>2438</v>
      </c>
      <c r="C607" s="2" t="s">
        <v>7</v>
      </c>
      <c r="D607" s="2" t="str">
        <f>"9781452263250"</f>
        <v>9781452263250</v>
      </c>
      <c r="E607" s="2">
        <v>996605</v>
      </c>
    </row>
    <row r="608" spans="1:5" x14ac:dyDescent="0.25">
      <c r="A608" s="4">
        <v>41901.718935185185</v>
      </c>
      <c r="B608" s="2" t="s">
        <v>3816</v>
      </c>
      <c r="C608" s="2" t="s">
        <v>16</v>
      </c>
      <c r="D608" s="2" t="str">
        <f>"9781606231296"</f>
        <v>9781606231296</v>
      </c>
      <c r="E608" s="2">
        <v>405995</v>
      </c>
    </row>
    <row r="609" spans="1:5" x14ac:dyDescent="0.25">
      <c r="A609" s="4">
        <v>41981.869664351849</v>
      </c>
      <c r="B609" s="2" t="s">
        <v>2461</v>
      </c>
      <c r="C609" s="2" t="s">
        <v>2404</v>
      </c>
      <c r="D609" s="2" t="str">
        <f>"9780335227525"</f>
        <v>9780335227525</v>
      </c>
      <c r="E609" s="2">
        <v>295444</v>
      </c>
    </row>
    <row r="610" spans="1:5" x14ac:dyDescent="0.25">
      <c r="A610" s="4">
        <v>41881.489293981482</v>
      </c>
      <c r="B610" s="2" t="s">
        <v>3921</v>
      </c>
      <c r="C610" s="2" t="s">
        <v>26</v>
      </c>
      <c r="D610" s="2" t="str">
        <f>"9780470285770"</f>
        <v>9780470285770</v>
      </c>
      <c r="E610" s="2">
        <v>353291</v>
      </c>
    </row>
    <row r="611" spans="1:5" x14ac:dyDescent="0.25">
      <c r="A611" s="4">
        <v>41912.560578703706</v>
      </c>
      <c r="B611" s="2" t="s">
        <v>3561</v>
      </c>
      <c r="C611" s="2" t="s">
        <v>7</v>
      </c>
      <c r="D611" s="2" t="str">
        <f>"9788132111146"</f>
        <v>9788132111146</v>
      </c>
      <c r="E611" s="2">
        <v>1109954</v>
      </c>
    </row>
    <row r="612" spans="1:5" x14ac:dyDescent="0.25">
      <c r="A612" s="4">
        <v>41975.41983796296</v>
      </c>
      <c r="B612" s="2" t="s">
        <v>2855</v>
      </c>
      <c r="C612" s="2" t="s">
        <v>16</v>
      </c>
      <c r="D612" s="2" t="str">
        <f>"9781606239988"</f>
        <v>9781606239988</v>
      </c>
      <c r="E612" s="2">
        <v>615849</v>
      </c>
    </row>
    <row r="613" spans="1:5" x14ac:dyDescent="0.25">
      <c r="A613" s="4">
        <v>41886.558541666665</v>
      </c>
      <c r="B613" s="2" t="s">
        <v>3902</v>
      </c>
      <c r="C613" s="2" t="s">
        <v>16</v>
      </c>
      <c r="D613" s="2" t="str">
        <f>"9781606239117"</f>
        <v>9781606239117</v>
      </c>
      <c r="E613" s="2">
        <v>554836</v>
      </c>
    </row>
    <row r="614" spans="1:5" x14ac:dyDescent="0.25">
      <c r="A614" s="4">
        <v>41900.905393518522</v>
      </c>
      <c r="B614" s="2" t="s">
        <v>3823</v>
      </c>
      <c r="C614" s="2" t="s">
        <v>7</v>
      </c>
      <c r="D614" s="2" t="str">
        <f>"9780857255945"</f>
        <v>9780857255945</v>
      </c>
      <c r="E614" s="2">
        <v>680116</v>
      </c>
    </row>
    <row r="615" spans="1:5" x14ac:dyDescent="0.25">
      <c r="A615" s="4">
        <v>41904.733240740738</v>
      </c>
      <c r="B615" s="2" t="s">
        <v>3768</v>
      </c>
      <c r="C615" s="2" t="s">
        <v>36</v>
      </c>
      <c r="D615" s="2" t="str">
        <f>"9781476602721"</f>
        <v>9781476602721</v>
      </c>
      <c r="E615" s="2">
        <v>1336672</v>
      </c>
    </row>
    <row r="616" spans="1:5" x14ac:dyDescent="0.25">
      <c r="A616" s="4">
        <v>41984.503912037035</v>
      </c>
      <c r="B616" s="2" t="s">
        <v>2371</v>
      </c>
      <c r="C616" s="2" t="s">
        <v>63</v>
      </c>
      <c r="D616" s="2" t="str">
        <f>"9781400850167"</f>
        <v>9781400850167</v>
      </c>
      <c r="E616" s="2">
        <v>1589169</v>
      </c>
    </row>
    <row r="617" spans="1:5" x14ac:dyDescent="0.25">
      <c r="A617" s="4">
        <v>41994.908217592594</v>
      </c>
      <c r="B617" s="2" t="s">
        <v>264</v>
      </c>
      <c r="C617" s="2" t="s">
        <v>26</v>
      </c>
      <c r="D617" s="2" t="str">
        <f>"9781119993964"</f>
        <v>9781119993964</v>
      </c>
      <c r="E617" s="2">
        <v>693561</v>
      </c>
    </row>
    <row r="618" spans="1:5" x14ac:dyDescent="0.25">
      <c r="A618" s="4">
        <v>41927.615173611113</v>
      </c>
      <c r="B618" s="2" t="s">
        <v>3214</v>
      </c>
      <c r="C618" s="2" t="s">
        <v>7</v>
      </c>
      <c r="D618" s="2" t="str">
        <f>"9781412999243"</f>
        <v>9781412999243</v>
      </c>
      <c r="E618" s="2">
        <v>1598326</v>
      </c>
    </row>
    <row r="619" spans="1:5" x14ac:dyDescent="0.25">
      <c r="A619" s="4">
        <v>41905.911157407405</v>
      </c>
      <c r="B619" s="2" t="s">
        <v>3723</v>
      </c>
      <c r="C619" s="2" t="s">
        <v>16</v>
      </c>
      <c r="D619" s="2" t="str">
        <f>"9781606233337"</f>
        <v>9781606233337</v>
      </c>
      <c r="E619" s="2">
        <v>460405</v>
      </c>
    </row>
    <row r="620" spans="1:5" x14ac:dyDescent="0.25">
      <c r="A620" s="4">
        <v>41983.016979166663</v>
      </c>
      <c r="B620" s="2" t="s">
        <v>2417</v>
      </c>
      <c r="C620" s="2" t="s">
        <v>7</v>
      </c>
      <c r="D620" s="2" t="str">
        <f>"9781452222165"</f>
        <v>9781452222165</v>
      </c>
      <c r="E620" s="2">
        <v>996347</v>
      </c>
    </row>
    <row r="621" spans="1:5" x14ac:dyDescent="0.25">
      <c r="A621" s="4">
        <v>41934.441701388889</v>
      </c>
      <c r="B621" s="2" t="s">
        <v>3064</v>
      </c>
      <c r="C621" s="2" t="s">
        <v>26</v>
      </c>
      <c r="D621" s="2" t="str">
        <f>"9780470695920"</f>
        <v>9780470695920</v>
      </c>
      <c r="E621" s="2">
        <v>470398</v>
      </c>
    </row>
    <row r="622" spans="1:5" x14ac:dyDescent="0.25">
      <c r="A622" s="4">
        <v>41994.878750000003</v>
      </c>
      <c r="B622" s="2" t="s">
        <v>2191</v>
      </c>
      <c r="C622" s="2" t="s">
        <v>2170</v>
      </c>
      <c r="D622" s="2" t="str">
        <f>"9781780323428"</f>
        <v>9781780323428</v>
      </c>
      <c r="E622" s="2">
        <v>1160735</v>
      </c>
    </row>
    <row r="623" spans="1:5" x14ac:dyDescent="0.25">
      <c r="A623" s="4">
        <v>41994.878738425927</v>
      </c>
      <c r="B623" s="2" t="s">
        <v>2225</v>
      </c>
      <c r="C623" s="2" t="s">
        <v>2170</v>
      </c>
      <c r="D623" s="2" t="str">
        <f>"9781848131231"</f>
        <v>9781848131231</v>
      </c>
      <c r="E623" s="2">
        <v>332923</v>
      </c>
    </row>
    <row r="624" spans="1:5" x14ac:dyDescent="0.25">
      <c r="A624" s="4">
        <v>43244.46802083333</v>
      </c>
      <c r="B624" s="2" t="s">
        <v>10</v>
      </c>
      <c r="C624" s="2" t="s">
        <v>7</v>
      </c>
      <c r="D624" s="2" t="str">
        <f>"9789386602862"</f>
        <v>9789386602862</v>
      </c>
      <c r="E624" s="2">
        <v>5131484</v>
      </c>
    </row>
    <row r="625" spans="1:5" x14ac:dyDescent="0.25">
      <c r="A625" s="4">
        <v>41994.878750000003</v>
      </c>
      <c r="B625" s="2" t="s">
        <v>2194</v>
      </c>
      <c r="C625" s="2" t="s">
        <v>2170</v>
      </c>
      <c r="D625" s="2" t="str">
        <f>"9781780321431"</f>
        <v>9781780321431</v>
      </c>
      <c r="E625" s="2">
        <v>1069837</v>
      </c>
    </row>
    <row r="626" spans="1:5" x14ac:dyDescent="0.25">
      <c r="A626" s="4">
        <v>41994.901921296296</v>
      </c>
      <c r="B626" s="2" t="s">
        <v>969</v>
      </c>
      <c r="C626" s="2" t="s">
        <v>119</v>
      </c>
      <c r="D626" s="2" t="str">
        <f>"9780520938328"</f>
        <v>9780520938328</v>
      </c>
      <c r="E626" s="2">
        <v>254866</v>
      </c>
    </row>
    <row r="627" spans="1:5" x14ac:dyDescent="0.25">
      <c r="A627" s="4">
        <v>41994.896180555559</v>
      </c>
      <c r="B627" s="2" t="s">
        <v>1437</v>
      </c>
      <c r="C627" s="2" t="s">
        <v>28</v>
      </c>
      <c r="D627" s="2" t="str">
        <f>"9780253015686"</f>
        <v>9780253015686</v>
      </c>
      <c r="E627" s="2">
        <v>1809825</v>
      </c>
    </row>
    <row r="628" spans="1:5" x14ac:dyDescent="0.25">
      <c r="A628" s="4">
        <v>41994.889861111114</v>
      </c>
      <c r="B628" s="2" t="s">
        <v>1910</v>
      </c>
      <c r="C628" s="2" t="s">
        <v>72</v>
      </c>
      <c r="D628" s="2" t="str">
        <f>"9780748632510"</f>
        <v>9780748632510</v>
      </c>
      <c r="E628" s="2">
        <v>434312</v>
      </c>
    </row>
    <row r="629" spans="1:5" x14ac:dyDescent="0.25">
      <c r="A629" s="4">
        <v>43244.46802083333</v>
      </c>
      <c r="B629" s="2" t="s">
        <v>4</v>
      </c>
      <c r="C629" s="2" t="s">
        <v>5</v>
      </c>
      <c r="D629" s="2" t="str">
        <f>"9780857013408"</f>
        <v>9780857013408</v>
      </c>
      <c r="E629" s="2">
        <v>5145636</v>
      </c>
    </row>
    <row r="630" spans="1:5" x14ac:dyDescent="0.25">
      <c r="A630" s="4">
        <v>41994.905601851853</v>
      </c>
      <c r="B630" s="2" t="s">
        <v>533</v>
      </c>
      <c r="C630" s="2" t="s">
        <v>96</v>
      </c>
      <c r="D630" s="2" t="str">
        <f>"9780807882597"</f>
        <v>9780807882597</v>
      </c>
      <c r="E630" s="2">
        <v>877305</v>
      </c>
    </row>
    <row r="631" spans="1:5" x14ac:dyDescent="0.25">
      <c r="A631" s="4">
        <v>41980.963194444441</v>
      </c>
      <c r="B631" s="2" t="s">
        <v>2492</v>
      </c>
      <c r="C631" s="2" t="s">
        <v>119</v>
      </c>
      <c r="D631" s="2" t="str">
        <f>"9780520926394"</f>
        <v>9780520926394</v>
      </c>
      <c r="E631" s="2">
        <v>223559</v>
      </c>
    </row>
    <row r="632" spans="1:5" x14ac:dyDescent="0.25">
      <c r="A632" s="4">
        <v>41909.896747685183</v>
      </c>
      <c r="B632" s="2" t="s">
        <v>3624</v>
      </c>
      <c r="C632" s="2" t="s">
        <v>26</v>
      </c>
      <c r="D632" s="2" t="str">
        <f>"9780470411308"</f>
        <v>9780470411308</v>
      </c>
      <c r="E632" s="2">
        <v>427649</v>
      </c>
    </row>
    <row r="633" spans="1:5" x14ac:dyDescent="0.25">
      <c r="A633" s="4">
        <v>41994.878750000003</v>
      </c>
      <c r="B633" s="2" t="s">
        <v>2202</v>
      </c>
      <c r="C633" s="2" t="s">
        <v>2170</v>
      </c>
      <c r="D633" s="2" t="str">
        <f>"9781848135406"</f>
        <v>9781848135406</v>
      </c>
      <c r="E633" s="2">
        <v>688563</v>
      </c>
    </row>
    <row r="634" spans="1:5" x14ac:dyDescent="0.25">
      <c r="A634" s="4">
        <v>41994.90556712963</v>
      </c>
      <c r="B634" s="2" t="s">
        <v>611</v>
      </c>
      <c r="C634" s="2" t="s">
        <v>424</v>
      </c>
      <c r="D634" s="2" t="str">
        <f>"9780807876497"</f>
        <v>9780807876497</v>
      </c>
      <c r="E634" s="2">
        <v>413417</v>
      </c>
    </row>
    <row r="635" spans="1:5" x14ac:dyDescent="0.25">
      <c r="A635" s="4">
        <v>41994.908206018517</v>
      </c>
      <c r="B635" s="2" t="s">
        <v>300</v>
      </c>
      <c r="C635" s="2" t="s">
        <v>26</v>
      </c>
      <c r="D635" s="2" t="str">
        <f>"9781444328431"</f>
        <v>9781444328431</v>
      </c>
      <c r="E635" s="2">
        <v>624747</v>
      </c>
    </row>
    <row r="636" spans="1:5" x14ac:dyDescent="0.25">
      <c r="A636" s="4">
        <v>41994.905578703707</v>
      </c>
      <c r="B636" s="2" t="s">
        <v>582</v>
      </c>
      <c r="C636" s="2" t="s">
        <v>424</v>
      </c>
      <c r="D636" s="2" t="str">
        <f>"9780807868133"</f>
        <v>9780807868133</v>
      </c>
      <c r="E636" s="2">
        <v>605936</v>
      </c>
    </row>
    <row r="637" spans="1:5" x14ac:dyDescent="0.25">
      <c r="A637" s="4">
        <v>41994.885023148148</v>
      </c>
      <c r="B637" s="2" t="s">
        <v>2046</v>
      </c>
      <c r="C637" s="2" t="s">
        <v>18</v>
      </c>
      <c r="D637" s="2" t="str">
        <f>"9780567601384"</f>
        <v>9780567601384</v>
      </c>
      <c r="E637" s="2">
        <v>1048863</v>
      </c>
    </row>
    <row r="638" spans="1:5" x14ac:dyDescent="0.25">
      <c r="A638" s="4">
        <v>41974.837395833332</v>
      </c>
      <c r="B638" s="2" t="s">
        <v>2909</v>
      </c>
      <c r="C638" s="2" t="s">
        <v>119</v>
      </c>
      <c r="D638" s="2" t="str">
        <f>"9780520933729"</f>
        <v>9780520933729</v>
      </c>
      <c r="E638" s="2">
        <v>470835</v>
      </c>
    </row>
    <row r="639" spans="1:5" x14ac:dyDescent="0.25">
      <c r="A639" s="4">
        <v>41977.624178240738</v>
      </c>
      <c r="B639" s="2" t="s">
        <v>2598</v>
      </c>
      <c r="C639" s="2" t="s">
        <v>36</v>
      </c>
      <c r="D639" s="2" t="str">
        <f>"9781476605739"</f>
        <v>9781476605739</v>
      </c>
      <c r="E639" s="2">
        <v>1386985</v>
      </c>
    </row>
    <row r="640" spans="1:5" x14ac:dyDescent="0.25">
      <c r="A640" s="4">
        <v>41994.905578703707</v>
      </c>
      <c r="B640" s="2" t="s">
        <v>585</v>
      </c>
      <c r="C640" s="2" t="s">
        <v>96</v>
      </c>
      <c r="D640" s="2" t="str">
        <f>"9780807899410"</f>
        <v>9780807899410</v>
      </c>
      <c r="E640" s="2">
        <v>605929</v>
      </c>
    </row>
    <row r="641" spans="1:5" x14ac:dyDescent="0.25">
      <c r="A641" s="4">
        <v>41977.636284722219</v>
      </c>
      <c r="B641" s="2" t="s">
        <v>2597</v>
      </c>
      <c r="C641" s="2" t="s">
        <v>72</v>
      </c>
      <c r="D641" s="2" t="str">
        <f>"9780748631872"</f>
        <v>9780748631872</v>
      </c>
      <c r="E641" s="2">
        <v>364822</v>
      </c>
    </row>
    <row r="642" spans="1:5" x14ac:dyDescent="0.25">
      <c r="A642" s="4">
        <v>41994.896087962959</v>
      </c>
      <c r="B642" s="2" t="s">
        <v>1609</v>
      </c>
      <c r="C642" s="2" t="s">
        <v>28</v>
      </c>
      <c r="D642" s="2" t="str">
        <f>"9780253111883"</f>
        <v>9780253111883</v>
      </c>
      <c r="E642" s="2">
        <v>281563</v>
      </c>
    </row>
    <row r="643" spans="1:5" x14ac:dyDescent="0.25">
      <c r="A643" s="4">
        <v>41994.885046296295</v>
      </c>
      <c r="B643" s="2" t="s">
        <v>1987</v>
      </c>
      <c r="C643" s="2" t="s">
        <v>1934</v>
      </c>
      <c r="D643" s="2" t="str">
        <f>"9781441154828"</f>
        <v>9781441154828</v>
      </c>
      <c r="E643" s="2">
        <v>1404688</v>
      </c>
    </row>
    <row r="644" spans="1:5" x14ac:dyDescent="0.25">
      <c r="A644" s="4">
        <v>41918.735972222225</v>
      </c>
      <c r="B644" s="2" t="s">
        <v>3420</v>
      </c>
      <c r="C644" s="2" t="s">
        <v>26</v>
      </c>
      <c r="D644" s="2" t="str">
        <f>"9783527635344"</f>
        <v>9783527635344</v>
      </c>
      <c r="E644" s="2">
        <v>700920</v>
      </c>
    </row>
    <row r="645" spans="1:5" x14ac:dyDescent="0.25">
      <c r="A645" s="4">
        <v>41984.567395833335</v>
      </c>
      <c r="B645" s="2" t="s">
        <v>2366</v>
      </c>
      <c r="C645" s="2" t="s">
        <v>119</v>
      </c>
      <c r="D645" s="2" t="str">
        <f>"9780520950139"</f>
        <v>9780520950139</v>
      </c>
      <c r="E645" s="2">
        <v>784538</v>
      </c>
    </row>
    <row r="646" spans="1:5" x14ac:dyDescent="0.25">
      <c r="A646" s="4">
        <v>41994.901944444442</v>
      </c>
      <c r="B646" s="2" t="s">
        <v>913</v>
      </c>
      <c r="C646" s="2" t="s">
        <v>119</v>
      </c>
      <c r="D646" s="2" t="str">
        <f>"9780520946040"</f>
        <v>9780520946040</v>
      </c>
      <c r="E646" s="2">
        <v>566765</v>
      </c>
    </row>
    <row r="647" spans="1:5" x14ac:dyDescent="0.25">
      <c r="A647" s="4">
        <v>41994.90556712963</v>
      </c>
      <c r="B647" s="2" t="s">
        <v>609</v>
      </c>
      <c r="C647" s="2" t="s">
        <v>424</v>
      </c>
      <c r="D647" s="2" t="str">
        <f>"9780807861493"</f>
        <v>9780807861493</v>
      </c>
      <c r="E647" s="2">
        <v>427123</v>
      </c>
    </row>
    <row r="648" spans="1:5" x14ac:dyDescent="0.25">
      <c r="A648" s="4">
        <v>41994.896122685182</v>
      </c>
      <c r="B648" s="2" t="s">
        <v>1566</v>
      </c>
      <c r="C648" s="2" t="s">
        <v>28</v>
      </c>
      <c r="D648" s="2" t="str">
        <f>"9780253005069"</f>
        <v>9780253005069</v>
      </c>
      <c r="E648" s="2">
        <v>670264</v>
      </c>
    </row>
    <row r="649" spans="1:5" x14ac:dyDescent="0.25">
      <c r="A649" s="4">
        <v>41994.899131944447</v>
      </c>
      <c r="B649" s="2" t="s">
        <v>1152</v>
      </c>
      <c r="C649" s="2" t="s">
        <v>63</v>
      </c>
      <c r="D649" s="2" t="str">
        <f>"9781400848591"</f>
        <v>9781400848591</v>
      </c>
      <c r="E649" s="2">
        <v>1213976</v>
      </c>
    </row>
    <row r="650" spans="1:5" x14ac:dyDescent="0.25">
      <c r="A650" s="4">
        <v>41994.901909722219</v>
      </c>
      <c r="B650" s="2" t="s">
        <v>1019</v>
      </c>
      <c r="C650" s="2" t="s">
        <v>119</v>
      </c>
      <c r="D650" s="2" t="str">
        <f>"9780520930582"</f>
        <v>9780520930582</v>
      </c>
      <c r="E650" s="2">
        <v>223929</v>
      </c>
    </row>
    <row r="651" spans="1:5" x14ac:dyDescent="0.25">
      <c r="A651" s="4">
        <v>41994.885011574072</v>
      </c>
      <c r="B651" s="2" t="s">
        <v>2064</v>
      </c>
      <c r="C651" s="2" t="s">
        <v>74</v>
      </c>
      <c r="D651" s="2" t="str">
        <f>"9781441130501"</f>
        <v>9781441130501</v>
      </c>
      <c r="E651" s="2">
        <v>835776</v>
      </c>
    </row>
    <row r="652" spans="1:5" x14ac:dyDescent="0.25">
      <c r="A652" s="4">
        <v>41994.899143518516</v>
      </c>
      <c r="B652" s="2" t="s">
        <v>1077</v>
      </c>
      <c r="C652" s="2" t="s">
        <v>63</v>
      </c>
      <c r="D652" s="2" t="str">
        <f>"9781400850280"</f>
        <v>9781400850280</v>
      </c>
      <c r="E652" s="2">
        <v>1648731</v>
      </c>
    </row>
    <row r="653" spans="1:5" x14ac:dyDescent="0.25">
      <c r="A653" s="4">
        <v>41994.899062500001</v>
      </c>
      <c r="B653" s="2" t="s">
        <v>1360</v>
      </c>
      <c r="C653" s="2" t="s">
        <v>63</v>
      </c>
      <c r="D653" s="2" t="str">
        <f>"9781400823345"</f>
        <v>9781400823345</v>
      </c>
      <c r="E653" s="2">
        <v>581593</v>
      </c>
    </row>
    <row r="654" spans="1:5" x14ac:dyDescent="0.25">
      <c r="A654" s="4">
        <v>41994.899050925924</v>
      </c>
      <c r="B654" s="2" t="s">
        <v>1388</v>
      </c>
      <c r="C654" s="2" t="s">
        <v>63</v>
      </c>
      <c r="D654" s="2" t="str">
        <f>"9781400822102"</f>
        <v>9781400822102</v>
      </c>
      <c r="E654" s="2">
        <v>483535</v>
      </c>
    </row>
    <row r="655" spans="1:5" x14ac:dyDescent="0.25">
      <c r="A655" s="4">
        <v>41994.901932870373</v>
      </c>
      <c r="B655" s="2" t="s">
        <v>926</v>
      </c>
      <c r="C655" s="2" t="s">
        <v>119</v>
      </c>
      <c r="D655" s="2" t="str">
        <f>"9780520945487"</f>
        <v>9780520945487</v>
      </c>
      <c r="E655" s="2">
        <v>517164</v>
      </c>
    </row>
    <row r="656" spans="1:5" x14ac:dyDescent="0.25">
      <c r="A656" s="4">
        <v>41994.885034722225</v>
      </c>
      <c r="B656" s="2" t="s">
        <v>2021</v>
      </c>
      <c r="C656" s="2" t="s">
        <v>74</v>
      </c>
      <c r="D656" s="2" t="str">
        <f>"9781441182296"</f>
        <v>9781441182296</v>
      </c>
      <c r="E656" s="2">
        <v>1190698</v>
      </c>
    </row>
    <row r="657" spans="1:5" x14ac:dyDescent="0.25">
      <c r="A657" s="4">
        <v>41976.716736111113</v>
      </c>
      <c r="B657" s="2" t="s">
        <v>2642</v>
      </c>
      <c r="C657" s="2" t="s">
        <v>2170</v>
      </c>
      <c r="D657" s="2" t="str">
        <f>"9781780322063"</f>
        <v>9781780322063</v>
      </c>
      <c r="E657" s="2">
        <v>1042708</v>
      </c>
    </row>
    <row r="658" spans="1:5" x14ac:dyDescent="0.25">
      <c r="A658" s="4">
        <v>41994.90556712963</v>
      </c>
      <c r="B658" s="2" t="s">
        <v>614</v>
      </c>
      <c r="C658" s="2" t="s">
        <v>424</v>
      </c>
      <c r="D658" s="2" t="str">
        <f>"9780807877203"</f>
        <v>9780807877203</v>
      </c>
      <c r="E658" s="2">
        <v>413376</v>
      </c>
    </row>
    <row r="659" spans="1:5" x14ac:dyDescent="0.25">
      <c r="A659" s="4">
        <v>43207.449363425927</v>
      </c>
      <c r="B659" s="2" t="s">
        <v>46</v>
      </c>
      <c r="C659" s="2" t="s">
        <v>36</v>
      </c>
      <c r="D659" s="2" t="str">
        <f>"9781476625294"</f>
        <v>9781476625294</v>
      </c>
      <c r="E659" s="2">
        <v>4884404</v>
      </c>
    </row>
    <row r="660" spans="1:5" x14ac:dyDescent="0.25">
      <c r="A660" s="4">
        <v>41994.899143518516</v>
      </c>
      <c r="B660" s="2" t="s">
        <v>1105</v>
      </c>
      <c r="C660" s="2" t="s">
        <v>63</v>
      </c>
      <c r="D660" s="2" t="str">
        <f>"9781400850976"</f>
        <v>9781400850976</v>
      </c>
      <c r="E660" s="2">
        <v>1573472</v>
      </c>
    </row>
    <row r="661" spans="1:5" x14ac:dyDescent="0.25">
      <c r="A661" s="4">
        <v>41994.896145833336</v>
      </c>
      <c r="B661" s="2" t="s">
        <v>1506</v>
      </c>
      <c r="C661" s="2" t="s">
        <v>28</v>
      </c>
      <c r="D661" s="2" t="str">
        <f>"9780253007148"</f>
        <v>9780253007148</v>
      </c>
      <c r="E661" s="2">
        <v>816876</v>
      </c>
    </row>
    <row r="662" spans="1:5" x14ac:dyDescent="0.25">
      <c r="A662" s="4">
        <v>41994.901967592596</v>
      </c>
      <c r="B662" s="2" t="s">
        <v>842</v>
      </c>
      <c r="C662" s="2" t="s">
        <v>119</v>
      </c>
      <c r="D662" s="2" t="str">
        <f>"9780520949782"</f>
        <v>9780520949782</v>
      </c>
      <c r="E662" s="2">
        <v>763985</v>
      </c>
    </row>
    <row r="663" spans="1:5" x14ac:dyDescent="0.25">
      <c r="A663" s="4">
        <v>41994.885046296295</v>
      </c>
      <c r="B663" s="2" t="s">
        <v>1981</v>
      </c>
      <c r="C663" s="2" t="s">
        <v>74</v>
      </c>
      <c r="D663" s="2" t="str">
        <f>"9781623560638"</f>
        <v>9781623560638</v>
      </c>
      <c r="E663" s="2">
        <v>1561303</v>
      </c>
    </row>
    <row r="664" spans="1:5" x14ac:dyDescent="0.25">
      <c r="A664" s="4">
        <v>41994.905601851853</v>
      </c>
      <c r="B664" s="2" t="s">
        <v>519</v>
      </c>
      <c r="C664" s="2" t="s">
        <v>424</v>
      </c>
      <c r="D664" s="2" t="str">
        <f>"9780807861134"</f>
        <v>9780807861134</v>
      </c>
      <c r="E664" s="2">
        <v>880229</v>
      </c>
    </row>
    <row r="665" spans="1:5" x14ac:dyDescent="0.25">
      <c r="A665" s="4">
        <v>41979.703657407408</v>
      </c>
      <c r="B665" s="2" t="s">
        <v>2536</v>
      </c>
      <c r="C665" s="2" t="s">
        <v>16</v>
      </c>
      <c r="D665" s="2" t="str">
        <f>"9781593857257"</f>
        <v>9781593857257</v>
      </c>
      <c r="E665" s="2">
        <v>320571</v>
      </c>
    </row>
    <row r="666" spans="1:5" x14ac:dyDescent="0.25">
      <c r="A666" s="4">
        <v>41902.528958333336</v>
      </c>
      <c r="B666" s="2" t="s">
        <v>3807</v>
      </c>
      <c r="C666" s="2" t="s">
        <v>2283</v>
      </c>
      <c r="D666" s="2" t="str">
        <f>"9789027273017"</f>
        <v>9789027273017</v>
      </c>
      <c r="E666" s="2">
        <v>1111901</v>
      </c>
    </row>
    <row r="667" spans="1:5" x14ac:dyDescent="0.25">
      <c r="A667" s="4">
        <v>41994.896180555559</v>
      </c>
      <c r="B667" s="2" t="s">
        <v>1446</v>
      </c>
      <c r="C667" s="2" t="s">
        <v>28</v>
      </c>
      <c r="D667" s="2" t="str">
        <f>"9780253011640"</f>
        <v>9780253011640</v>
      </c>
      <c r="E667" s="2">
        <v>1672950</v>
      </c>
    </row>
    <row r="668" spans="1:5" x14ac:dyDescent="0.25">
      <c r="A668" s="4">
        <v>41841.365601851852</v>
      </c>
      <c r="B668" s="2" t="s">
        <v>3975</v>
      </c>
      <c r="C668" s="2" t="s">
        <v>119</v>
      </c>
      <c r="D668" s="2" t="str">
        <f>"9780520950269"</f>
        <v>9780520950269</v>
      </c>
      <c r="E668" s="2">
        <v>844028</v>
      </c>
    </row>
    <row r="669" spans="1:5" x14ac:dyDescent="0.25">
      <c r="A669" s="4">
        <v>41913.440844907411</v>
      </c>
      <c r="B669" s="2" t="s">
        <v>3540</v>
      </c>
      <c r="C669" s="2" t="s">
        <v>160</v>
      </c>
      <c r="D669" s="2" t="str">
        <f>"9781118084571"</f>
        <v>9781118084571</v>
      </c>
      <c r="E669" s="2">
        <v>697950</v>
      </c>
    </row>
    <row r="670" spans="1:5" x14ac:dyDescent="0.25">
      <c r="A670" s="4">
        <v>41926.465844907405</v>
      </c>
      <c r="B670" s="2" t="s">
        <v>3249</v>
      </c>
      <c r="C670" s="2" t="s">
        <v>160</v>
      </c>
      <c r="D670" s="2" t="str">
        <f>"9781118077290"</f>
        <v>9781118077290</v>
      </c>
      <c r="E670" s="2">
        <v>697947</v>
      </c>
    </row>
    <row r="671" spans="1:5" x14ac:dyDescent="0.25">
      <c r="A671" s="4">
        <v>41816.603645833333</v>
      </c>
      <c r="B671" s="2" t="s">
        <v>3992</v>
      </c>
      <c r="C671" s="2" t="s">
        <v>160</v>
      </c>
      <c r="D671" s="2" t="str">
        <f>"9781118106532"</f>
        <v>9781118106532</v>
      </c>
      <c r="E671" s="2">
        <v>708868</v>
      </c>
    </row>
    <row r="672" spans="1:5" x14ac:dyDescent="0.25">
      <c r="A672" s="4">
        <v>41813.367569444446</v>
      </c>
      <c r="B672" s="2" t="s">
        <v>3997</v>
      </c>
      <c r="C672" s="2" t="s">
        <v>160</v>
      </c>
      <c r="D672" s="2" t="str">
        <f>"9781118048597"</f>
        <v>9781118048597</v>
      </c>
      <c r="E672" s="2">
        <v>697949</v>
      </c>
    </row>
    <row r="673" spans="1:5" x14ac:dyDescent="0.25">
      <c r="A673" s="4">
        <v>41913.85701388889</v>
      </c>
      <c r="B673" s="2" t="s">
        <v>3530</v>
      </c>
      <c r="C673" s="2" t="s">
        <v>160</v>
      </c>
      <c r="D673" s="2" t="str">
        <f>"9780764584862"</f>
        <v>9780764584862</v>
      </c>
      <c r="E673" s="2">
        <v>130063</v>
      </c>
    </row>
    <row r="674" spans="1:5" x14ac:dyDescent="0.25">
      <c r="A674" s="4">
        <v>41994.884965277779</v>
      </c>
      <c r="B674" s="2" t="s">
        <v>2161</v>
      </c>
      <c r="C674" s="2" t="s">
        <v>18</v>
      </c>
      <c r="D674" s="2" t="str">
        <f>"9780567544599"</f>
        <v>9780567544599</v>
      </c>
      <c r="E674" s="2">
        <v>436225</v>
      </c>
    </row>
    <row r="675" spans="1:5" x14ac:dyDescent="0.25">
      <c r="A675" s="4">
        <v>41994.899108796293</v>
      </c>
      <c r="B675" s="2" t="s">
        <v>1222</v>
      </c>
      <c r="C675" s="2" t="s">
        <v>63</v>
      </c>
      <c r="D675" s="2" t="str">
        <f>"9781400842445"</f>
        <v>9781400842445</v>
      </c>
      <c r="E675" s="2">
        <v>913739</v>
      </c>
    </row>
    <row r="676" spans="1:5" x14ac:dyDescent="0.25">
      <c r="A676" s="4">
        <v>41928.471921296295</v>
      </c>
      <c r="B676" s="2" t="s">
        <v>3198</v>
      </c>
      <c r="C676" s="2" t="s">
        <v>26</v>
      </c>
      <c r="D676" s="2" t="str">
        <f>"9781118305911"</f>
        <v>9781118305911</v>
      </c>
      <c r="E676" s="2">
        <v>836605</v>
      </c>
    </row>
    <row r="677" spans="1:5" x14ac:dyDescent="0.25">
      <c r="A677" s="4">
        <v>42886.492025462961</v>
      </c>
      <c r="B677" s="2" t="s">
        <v>131</v>
      </c>
      <c r="C677" s="2" t="s">
        <v>26</v>
      </c>
      <c r="D677" s="2" t="str">
        <f>"9781119360735"</f>
        <v>9781119360735</v>
      </c>
      <c r="E677" s="2">
        <v>4673089</v>
      </c>
    </row>
    <row r="678" spans="1:5" x14ac:dyDescent="0.25">
      <c r="A678" s="4">
        <v>42886.492025462961</v>
      </c>
      <c r="B678" s="2" t="s">
        <v>129</v>
      </c>
      <c r="C678" s="2" t="s">
        <v>26</v>
      </c>
      <c r="D678" s="2" t="str">
        <f>"9781119253778"</f>
        <v>9781119253778</v>
      </c>
      <c r="E678" s="2">
        <v>4721402</v>
      </c>
    </row>
    <row r="679" spans="1:5" x14ac:dyDescent="0.25">
      <c r="A679" s="4">
        <v>41994.892951388887</v>
      </c>
      <c r="B679" s="2" t="s">
        <v>1636</v>
      </c>
      <c r="C679" s="2" t="s">
        <v>16</v>
      </c>
      <c r="D679" s="2" t="str">
        <f>"9781462514205"</f>
        <v>9781462514205</v>
      </c>
      <c r="E679" s="2">
        <v>1655943</v>
      </c>
    </row>
    <row r="680" spans="1:5" x14ac:dyDescent="0.25">
      <c r="A680" s="4">
        <v>41994.892928240741</v>
      </c>
      <c r="B680" s="2" t="s">
        <v>1672</v>
      </c>
      <c r="C680" s="2" t="s">
        <v>16</v>
      </c>
      <c r="D680" s="2" t="str">
        <f>"9781462507863"</f>
        <v>9781462507863</v>
      </c>
      <c r="E680" s="2">
        <v>1069221</v>
      </c>
    </row>
    <row r="681" spans="1:5" x14ac:dyDescent="0.25">
      <c r="A681" s="4">
        <v>41974.742986111109</v>
      </c>
      <c r="B681" s="2" t="s">
        <v>2922</v>
      </c>
      <c r="C681" s="2" t="s">
        <v>119</v>
      </c>
      <c r="D681" s="2" t="str">
        <f>"9780520959019"</f>
        <v>9780520959019</v>
      </c>
      <c r="E681" s="2">
        <v>1711019</v>
      </c>
    </row>
    <row r="682" spans="1:5" x14ac:dyDescent="0.25">
      <c r="A682" s="4">
        <v>41994.90556712963</v>
      </c>
      <c r="B682" s="2" t="s">
        <v>623</v>
      </c>
      <c r="C682" s="2" t="s">
        <v>424</v>
      </c>
      <c r="D682" s="2" t="str">
        <f>"9780807875766"</f>
        <v>9780807875766</v>
      </c>
      <c r="E682" s="2">
        <v>413243</v>
      </c>
    </row>
    <row r="683" spans="1:5" x14ac:dyDescent="0.25">
      <c r="A683" s="4">
        <v>43136.461273148147</v>
      </c>
      <c r="B683" s="2" t="s">
        <v>114</v>
      </c>
      <c r="C683" s="2" t="s">
        <v>16</v>
      </c>
      <c r="D683" s="2" t="str">
        <f>"9781462531370"</f>
        <v>9781462531370</v>
      </c>
      <c r="E683" s="2">
        <v>4857284</v>
      </c>
    </row>
    <row r="684" spans="1:5" x14ac:dyDescent="0.25">
      <c r="A684" s="4">
        <v>41974.660601851851</v>
      </c>
      <c r="B684" s="2" t="s">
        <v>2939</v>
      </c>
      <c r="C684" s="2" t="s">
        <v>26</v>
      </c>
      <c r="D684" s="2" t="str">
        <f>"9780787996017"</f>
        <v>9780787996017</v>
      </c>
      <c r="E684" s="2">
        <v>292464</v>
      </c>
    </row>
    <row r="685" spans="1:5" x14ac:dyDescent="0.25">
      <c r="A685" s="4">
        <v>41925.913182870368</v>
      </c>
      <c r="B685" s="2" t="s">
        <v>3259</v>
      </c>
      <c r="C685" s="2" t="s">
        <v>26</v>
      </c>
      <c r="D685" s="2" t="str">
        <f>"9781444313390"</f>
        <v>9781444313390</v>
      </c>
      <c r="E685" s="2">
        <v>454395</v>
      </c>
    </row>
    <row r="686" spans="1:5" x14ac:dyDescent="0.25">
      <c r="A686" s="4">
        <v>41994.899085648147</v>
      </c>
      <c r="B686" s="2" t="s">
        <v>1284</v>
      </c>
      <c r="C686" s="2" t="s">
        <v>63</v>
      </c>
      <c r="D686" s="2" t="str">
        <f>"9781400840465"</f>
        <v>9781400840465</v>
      </c>
      <c r="E686" s="2">
        <v>736917</v>
      </c>
    </row>
    <row r="687" spans="1:5" x14ac:dyDescent="0.25">
      <c r="A687" s="4">
        <v>41994.899097222224</v>
      </c>
      <c r="B687" s="2" t="s">
        <v>1264</v>
      </c>
      <c r="C687" s="2" t="s">
        <v>63</v>
      </c>
      <c r="D687" s="2" t="str">
        <f>"9781400833610"</f>
        <v>9781400833610</v>
      </c>
      <c r="E687" s="2">
        <v>815522</v>
      </c>
    </row>
    <row r="688" spans="1:5" x14ac:dyDescent="0.25">
      <c r="A688" s="4">
        <v>41936.307083333333</v>
      </c>
      <c r="B688" s="2" t="s">
        <v>3007</v>
      </c>
      <c r="C688" s="2" t="s">
        <v>160</v>
      </c>
      <c r="D688" s="2" t="str">
        <f>"9781444393361"</f>
        <v>9781444393361</v>
      </c>
      <c r="E688" s="2">
        <v>674987</v>
      </c>
    </row>
    <row r="689" spans="1:5" x14ac:dyDescent="0.25">
      <c r="A689" s="4">
        <v>41994.901979166665</v>
      </c>
      <c r="B689" s="2" t="s">
        <v>790</v>
      </c>
      <c r="C689" s="2" t="s">
        <v>119</v>
      </c>
      <c r="D689" s="2" t="str">
        <f>"9780520952485"</f>
        <v>9780520952485</v>
      </c>
      <c r="E689" s="2">
        <v>870021</v>
      </c>
    </row>
    <row r="690" spans="1:5" x14ac:dyDescent="0.25">
      <c r="A690" s="4">
        <v>41926.472800925927</v>
      </c>
      <c r="B690" s="2" t="s">
        <v>3248</v>
      </c>
      <c r="C690" s="2" t="s">
        <v>16</v>
      </c>
      <c r="D690" s="2" t="str">
        <f>"9781606230473"</f>
        <v>9781606230473</v>
      </c>
      <c r="E690" s="2">
        <v>352275</v>
      </c>
    </row>
    <row r="691" spans="1:5" x14ac:dyDescent="0.25">
      <c r="A691" s="4">
        <v>41935.558877314812</v>
      </c>
      <c r="B691" s="2" t="s">
        <v>3029</v>
      </c>
      <c r="C691" s="2" t="s">
        <v>72</v>
      </c>
      <c r="D691" s="2" t="str">
        <f>"9780748626502"</f>
        <v>9780748626502</v>
      </c>
      <c r="E691" s="2">
        <v>264956</v>
      </c>
    </row>
    <row r="692" spans="1:5" x14ac:dyDescent="0.25">
      <c r="A692" s="4">
        <v>41994.892916666664</v>
      </c>
      <c r="B692" s="2" t="s">
        <v>1716</v>
      </c>
      <c r="C692" s="2" t="s">
        <v>16</v>
      </c>
      <c r="D692" s="2" t="str">
        <f>"9781609181352"</f>
        <v>9781609181352</v>
      </c>
      <c r="E692" s="2">
        <v>684293</v>
      </c>
    </row>
    <row r="693" spans="1:5" x14ac:dyDescent="0.25">
      <c r="A693" s="4">
        <v>41994.892928240741</v>
      </c>
      <c r="B693" s="2" t="s">
        <v>1703</v>
      </c>
      <c r="C693" s="2" t="s">
        <v>16</v>
      </c>
      <c r="D693" s="2" t="str">
        <f>"9781609189860"</f>
        <v>9781609189860</v>
      </c>
      <c r="E693" s="2">
        <v>800603</v>
      </c>
    </row>
    <row r="694" spans="1:5" x14ac:dyDescent="0.25">
      <c r="A694" s="4">
        <v>41994.892916666664</v>
      </c>
      <c r="B694" s="2" t="s">
        <v>1724</v>
      </c>
      <c r="C694" s="2" t="s">
        <v>16</v>
      </c>
      <c r="D694" s="2" t="str">
        <f>"9781609181345"</f>
        <v>9781609181345</v>
      </c>
      <c r="E694" s="2">
        <v>670162</v>
      </c>
    </row>
    <row r="695" spans="1:5" x14ac:dyDescent="0.25">
      <c r="A695" s="4">
        <v>41929.952986111108</v>
      </c>
      <c r="B695" s="2" t="s">
        <v>3159</v>
      </c>
      <c r="C695" s="2" t="s">
        <v>63</v>
      </c>
      <c r="D695" s="2" t="str">
        <f>"9781400839889"</f>
        <v>9781400839889</v>
      </c>
      <c r="E695" s="2">
        <v>832067</v>
      </c>
    </row>
    <row r="696" spans="1:5" x14ac:dyDescent="0.25">
      <c r="A696" s="4">
        <v>41925.287118055552</v>
      </c>
      <c r="B696" s="2" t="s">
        <v>3159</v>
      </c>
      <c r="C696" s="2" t="s">
        <v>63</v>
      </c>
      <c r="D696" s="2" t="str">
        <f>"9781400831074"</f>
        <v>9781400831074</v>
      </c>
      <c r="E696" s="2">
        <v>537664</v>
      </c>
    </row>
    <row r="697" spans="1:5" x14ac:dyDescent="0.25">
      <c r="A697" s="4">
        <v>41994.90556712963</v>
      </c>
      <c r="B697" s="2" t="s">
        <v>620</v>
      </c>
      <c r="C697" s="2" t="s">
        <v>424</v>
      </c>
      <c r="D697" s="2" t="str">
        <f>"9780807863510"</f>
        <v>9780807863510</v>
      </c>
      <c r="E697" s="2">
        <v>413265</v>
      </c>
    </row>
    <row r="698" spans="1:5" x14ac:dyDescent="0.25">
      <c r="A698" s="4">
        <v>41994.908229166664</v>
      </c>
      <c r="B698" s="2" t="s">
        <v>196</v>
      </c>
      <c r="C698" s="2" t="s">
        <v>26</v>
      </c>
      <c r="D698" s="2" t="str">
        <f>"9781118180556"</f>
        <v>9781118180556</v>
      </c>
      <c r="E698" s="2">
        <v>817493</v>
      </c>
    </row>
    <row r="699" spans="1:5" x14ac:dyDescent="0.25">
      <c r="A699" s="4">
        <v>41930.567893518521</v>
      </c>
      <c r="B699" s="2" t="s">
        <v>3155</v>
      </c>
      <c r="C699" s="2" t="s">
        <v>26</v>
      </c>
      <c r="D699" s="2" t="str">
        <f>"9780470876015"</f>
        <v>9780470876015</v>
      </c>
      <c r="E699" s="2">
        <v>529967</v>
      </c>
    </row>
    <row r="700" spans="1:5" x14ac:dyDescent="0.25">
      <c r="A700" s="4">
        <v>41994.892905092594</v>
      </c>
      <c r="B700" s="2" t="s">
        <v>1762</v>
      </c>
      <c r="C700" s="2" t="s">
        <v>16</v>
      </c>
      <c r="D700" s="2" t="str">
        <f>"9781606233467"</f>
        <v>9781606233467</v>
      </c>
      <c r="E700" s="2">
        <v>460407</v>
      </c>
    </row>
    <row r="701" spans="1:5" x14ac:dyDescent="0.25">
      <c r="A701" s="4">
        <v>41994.89912037037</v>
      </c>
      <c r="B701" s="2" t="s">
        <v>1187</v>
      </c>
      <c r="C701" s="2" t="s">
        <v>63</v>
      </c>
      <c r="D701" s="2" t="str">
        <f>"9781400846054"</f>
        <v>9781400846054</v>
      </c>
      <c r="E701" s="2">
        <v>1114873</v>
      </c>
    </row>
    <row r="702" spans="1:5" x14ac:dyDescent="0.25">
      <c r="A702" s="4">
        <v>41869.249166666668</v>
      </c>
      <c r="B702" s="2" t="s">
        <v>3951</v>
      </c>
      <c r="C702" s="2" t="s">
        <v>63</v>
      </c>
      <c r="D702" s="2" t="str">
        <f>"9781400841578"</f>
        <v>9781400841578</v>
      </c>
      <c r="E702" s="2">
        <v>864784</v>
      </c>
    </row>
    <row r="703" spans="1:5" x14ac:dyDescent="0.25">
      <c r="A703" s="4">
        <v>41931.759039351855</v>
      </c>
      <c r="B703" s="2" t="s">
        <v>3135</v>
      </c>
      <c r="C703" s="2" t="s">
        <v>26</v>
      </c>
      <c r="D703" s="2" t="str">
        <f>"9780470593257"</f>
        <v>9780470593257</v>
      </c>
      <c r="E703" s="2">
        <v>484864</v>
      </c>
    </row>
    <row r="704" spans="1:5" x14ac:dyDescent="0.25">
      <c r="A704" s="4">
        <v>41936.612291666665</v>
      </c>
      <c r="B704" s="2" t="s">
        <v>3000</v>
      </c>
      <c r="C704" s="2" t="s">
        <v>16</v>
      </c>
      <c r="D704" s="2" t="str">
        <f>"9781609189594"</f>
        <v>9781609189594</v>
      </c>
      <c r="E704" s="2">
        <v>819615</v>
      </c>
    </row>
    <row r="705" spans="1:5" x14ac:dyDescent="0.25">
      <c r="A705" s="4">
        <v>41901.488842592589</v>
      </c>
      <c r="B705" s="2" t="s">
        <v>3820</v>
      </c>
      <c r="C705" s="2" t="s">
        <v>26</v>
      </c>
      <c r="D705" s="2" t="str">
        <f>"9781444396270"</f>
        <v>9781444396270</v>
      </c>
      <c r="E705" s="2">
        <v>707953</v>
      </c>
    </row>
    <row r="706" spans="1:5" x14ac:dyDescent="0.25">
      <c r="A706" s="4">
        <v>41994.896168981482</v>
      </c>
      <c r="B706" s="2" t="s">
        <v>1462</v>
      </c>
      <c r="C706" s="2" t="s">
        <v>28</v>
      </c>
      <c r="D706" s="2" t="str">
        <f>"9780253010537"</f>
        <v>9780253010537</v>
      </c>
      <c r="E706" s="2">
        <v>1480837</v>
      </c>
    </row>
    <row r="707" spans="1:5" x14ac:dyDescent="0.25">
      <c r="A707" s="4">
        <v>41994.905613425923</v>
      </c>
      <c r="B707" s="2" t="s">
        <v>491</v>
      </c>
      <c r="C707" s="2" t="s">
        <v>96</v>
      </c>
      <c r="D707" s="2" t="str">
        <f>"9780807837443"</f>
        <v>9780807837443</v>
      </c>
      <c r="E707" s="2">
        <v>1035010</v>
      </c>
    </row>
    <row r="708" spans="1:5" x14ac:dyDescent="0.25">
      <c r="A708" s="4">
        <v>41994.901944444442</v>
      </c>
      <c r="B708" s="2" t="s">
        <v>903</v>
      </c>
      <c r="C708" s="2" t="s">
        <v>119</v>
      </c>
      <c r="D708" s="2" t="str">
        <f>"9780520947603"</f>
        <v>9780520947603</v>
      </c>
      <c r="E708" s="2">
        <v>593594</v>
      </c>
    </row>
    <row r="709" spans="1:5" x14ac:dyDescent="0.25">
      <c r="A709" s="4">
        <v>41994.901909722219</v>
      </c>
      <c r="B709" s="2" t="s">
        <v>1002</v>
      </c>
      <c r="C709" s="2" t="s">
        <v>119</v>
      </c>
      <c r="D709" s="2" t="str">
        <f>"9780520927544"</f>
        <v>9780520927544</v>
      </c>
      <c r="E709" s="2">
        <v>224251</v>
      </c>
    </row>
    <row r="710" spans="1:5" x14ac:dyDescent="0.25">
      <c r="A710" s="4">
        <v>41976.945671296293</v>
      </c>
      <c r="B710" s="2" t="s">
        <v>2626</v>
      </c>
      <c r="C710" s="2" t="s">
        <v>28</v>
      </c>
      <c r="D710" s="2" t="str">
        <f>"9780253003393"</f>
        <v>9780253003393</v>
      </c>
      <c r="E710" s="2">
        <v>474474</v>
      </c>
    </row>
    <row r="711" spans="1:5" x14ac:dyDescent="0.25">
      <c r="A711" s="4">
        <v>41994.896168981482</v>
      </c>
      <c r="B711" s="2" t="s">
        <v>1451</v>
      </c>
      <c r="C711" s="2" t="s">
        <v>28</v>
      </c>
      <c r="D711" s="2" t="str">
        <f>"9780253011657"</f>
        <v>9780253011657</v>
      </c>
      <c r="E711" s="2">
        <v>1636922</v>
      </c>
    </row>
    <row r="712" spans="1:5" x14ac:dyDescent="0.25">
      <c r="A712" s="4">
        <v>41994.901921296296</v>
      </c>
      <c r="B712" s="2" t="s">
        <v>978</v>
      </c>
      <c r="C712" s="2" t="s">
        <v>119</v>
      </c>
      <c r="D712" s="2" t="str">
        <f>"9780520938618"</f>
        <v>9780520938618</v>
      </c>
      <c r="E712" s="2">
        <v>231908</v>
      </c>
    </row>
    <row r="713" spans="1:5" x14ac:dyDescent="0.25">
      <c r="A713" s="4">
        <v>41915.984375</v>
      </c>
      <c r="B713" s="2" t="s">
        <v>3483</v>
      </c>
      <c r="C713" s="2" t="s">
        <v>119</v>
      </c>
      <c r="D713" s="2" t="str">
        <f>"9780520911666"</f>
        <v>9780520911666</v>
      </c>
      <c r="E713" s="2">
        <v>224456</v>
      </c>
    </row>
    <row r="714" spans="1:5" x14ac:dyDescent="0.25">
      <c r="A714" s="4">
        <v>41974.471053240741</v>
      </c>
      <c r="B714" s="2" t="s">
        <v>2981</v>
      </c>
      <c r="C714" s="2" t="s">
        <v>18</v>
      </c>
      <c r="D714" s="2" t="str">
        <f>"9781472520159"</f>
        <v>9781472520159</v>
      </c>
      <c r="E714" s="2">
        <v>1334427</v>
      </c>
    </row>
    <row r="715" spans="1:5" x14ac:dyDescent="0.25">
      <c r="A715" s="4">
        <v>41994.908194444448</v>
      </c>
      <c r="B715" s="2" t="s">
        <v>303</v>
      </c>
      <c r="C715" s="2" t="s">
        <v>26</v>
      </c>
      <c r="D715" s="2" t="str">
        <f>"9781118012765"</f>
        <v>9781118012765</v>
      </c>
      <c r="E715" s="2">
        <v>624513</v>
      </c>
    </row>
    <row r="716" spans="1:5" x14ac:dyDescent="0.25">
      <c r="A716" s="4">
        <v>41994.905613425923</v>
      </c>
      <c r="B716" s="2" t="s">
        <v>501</v>
      </c>
      <c r="C716" s="2" t="s">
        <v>424</v>
      </c>
      <c r="D716" s="2" t="str">
        <f>"9780807837580"</f>
        <v>9780807837580</v>
      </c>
      <c r="E716" s="2">
        <v>978129</v>
      </c>
    </row>
    <row r="717" spans="1:5" x14ac:dyDescent="0.25">
      <c r="A717" s="4">
        <v>41994.89912037037</v>
      </c>
      <c r="B717" s="2" t="s">
        <v>1158</v>
      </c>
      <c r="C717" s="2" t="s">
        <v>63</v>
      </c>
      <c r="D717" s="2" t="str">
        <f>"9781400846061"</f>
        <v>9781400846061</v>
      </c>
      <c r="E717" s="2">
        <v>1205608</v>
      </c>
    </row>
    <row r="718" spans="1:5" x14ac:dyDescent="0.25">
      <c r="A718" s="4">
        <v>41987.589988425927</v>
      </c>
      <c r="B718" s="2" t="s">
        <v>2315</v>
      </c>
      <c r="C718" s="2" t="s">
        <v>74</v>
      </c>
      <c r="D718" s="2" t="str">
        <f>"9781441197573"</f>
        <v>9781441197573</v>
      </c>
      <c r="E718" s="2">
        <v>1752198</v>
      </c>
    </row>
    <row r="719" spans="1:5" x14ac:dyDescent="0.25">
      <c r="A719" s="4">
        <v>41925.773009259261</v>
      </c>
      <c r="B719" s="2" t="s">
        <v>3269</v>
      </c>
      <c r="C719" s="2" t="s">
        <v>119</v>
      </c>
      <c r="D719" s="2" t="str">
        <f>"9780520950184"</f>
        <v>9780520950184</v>
      </c>
      <c r="E719" s="2">
        <v>785221</v>
      </c>
    </row>
    <row r="720" spans="1:5" x14ac:dyDescent="0.25">
      <c r="A720" s="4">
        <v>41974.675543981481</v>
      </c>
      <c r="B720" s="2" t="s">
        <v>2934</v>
      </c>
      <c r="C720" s="2" t="s">
        <v>1934</v>
      </c>
      <c r="D720" s="2" t="str">
        <f>"9781628921533"</f>
        <v>9781628921533</v>
      </c>
      <c r="E720" s="2">
        <v>1813987</v>
      </c>
    </row>
    <row r="721" spans="1:5" x14ac:dyDescent="0.25">
      <c r="A721" s="4">
        <v>41994.901944444442</v>
      </c>
      <c r="B721" s="2" t="s">
        <v>900</v>
      </c>
      <c r="C721" s="2" t="s">
        <v>119</v>
      </c>
      <c r="D721" s="2" t="str">
        <f>"9780520947634"</f>
        <v>9780520947634</v>
      </c>
      <c r="E721" s="2">
        <v>613131</v>
      </c>
    </row>
    <row r="722" spans="1:5" x14ac:dyDescent="0.25">
      <c r="A722" s="4">
        <v>41929.556215277778</v>
      </c>
      <c r="B722" s="2" t="s">
        <v>3173</v>
      </c>
      <c r="C722" s="2" t="s">
        <v>26</v>
      </c>
      <c r="D722" s="2" t="str">
        <f>"9780470597460"</f>
        <v>9780470597460</v>
      </c>
      <c r="E722" s="2">
        <v>477764</v>
      </c>
    </row>
    <row r="723" spans="1:5" x14ac:dyDescent="0.25">
      <c r="A723" s="4">
        <v>41994.901979166665</v>
      </c>
      <c r="B723" s="2" t="s">
        <v>780</v>
      </c>
      <c r="C723" s="2" t="s">
        <v>119</v>
      </c>
      <c r="D723" s="2" t="str">
        <f>"9780520927841"</f>
        <v>9780520927841</v>
      </c>
      <c r="E723" s="2">
        <v>894682</v>
      </c>
    </row>
    <row r="724" spans="1:5" x14ac:dyDescent="0.25">
      <c r="A724" s="4">
        <v>41994.905601851853</v>
      </c>
      <c r="B724" s="2" t="s">
        <v>531</v>
      </c>
      <c r="C724" s="2" t="s">
        <v>96</v>
      </c>
      <c r="D724" s="2" t="str">
        <f>"9780807869895"</f>
        <v>9780807869895</v>
      </c>
      <c r="E724" s="2">
        <v>877313</v>
      </c>
    </row>
    <row r="725" spans="1:5" x14ac:dyDescent="0.25">
      <c r="A725" s="4">
        <v>41911.553263888891</v>
      </c>
      <c r="B725" s="2" t="s">
        <v>3600</v>
      </c>
      <c r="C725" s="2" t="s">
        <v>26</v>
      </c>
      <c r="D725" s="2" t="str">
        <f>"9781405150163"</f>
        <v>9781405150163</v>
      </c>
      <c r="E725" s="2">
        <v>239888</v>
      </c>
    </row>
    <row r="726" spans="1:5" x14ac:dyDescent="0.25">
      <c r="A726" s="4">
        <v>41916.291296296295</v>
      </c>
      <c r="B726" s="2" t="s">
        <v>3481</v>
      </c>
      <c r="C726" s="2" t="s">
        <v>5</v>
      </c>
      <c r="D726" s="2" t="str">
        <f>"9781846423338"</f>
        <v>9781846423338</v>
      </c>
      <c r="E726" s="2">
        <v>290753</v>
      </c>
    </row>
    <row r="727" spans="1:5" x14ac:dyDescent="0.25">
      <c r="A727" s="4">
        <v>41908.415266203701</v>
      </c>
      <c r="B727" s="2" t="s">
        <v>3655</v>
      </c>
      <c r="C727" s="2" t="s">
        <v>7</v>
      </c>
      <c r="D727" s="2" t="str">
        <f>"9781452206417"</f>
        <v>9781452206417</v>
      </c>
      <c r="E727" s="2">
        <v>996205</v>
      </c>
    </row>
    <row r="728" spans="1:5" x14ac:dyDescent="0.25">
      <c r="A728" s="4">
        <v>41911.810150462959</v>
      </c>
      <c r="B728" s="2" t="s">
        <v>3582</v>
      </c>
      <c r="C728" s="2" t="s">
        <v>2283</v>
      </c>
      <c r="D728" s="2" t="str">
        <f>"9789027272010"</f>
        <v>9789027272010</v>
      </c>
      <c r="E728" s="2">
        <v>1209570</v>
      </c>
    </row>
    <row r="729" spans="1:5" x14ac:dyDescent="0.25">
      <c r="A729" s="4">
        <v>41976.993009259262</v>
      </c>
      <c r="B729" s="2" t="s">
        <v>2623</v>
      </c>
      <c r="C729" s="2" t="s">
        <v>2624</v>
      </c>
      <c r="D729" s="2" t="str">
        <f>"9788132109174"</f>
        <v>9788132109174</v>
      </c>
      <c r="E729" s="2">
        <v>835826</v>
      </c>
    </row>
    <row r="730" spans="1:5" x14ac:dyDescent="0.25">
      <c r="A730" s="4">
        <v>41994.901990740742</v>
      </c>
      <c r="B730" s="2" t="s">
        <v>756</v>
      </c>
      <c r="C730" s="2" t="s">
        <v>119</v>
      </c>
      <c r="D730" s="2" t="str">
        <f>"9780520953468"</f>
        <v>9780520953468</v>
      </c>
      <c r="E730" s="2">
        <v>962591</v>
      </c>
    </row>
    <row r="731" spans="1:5" x14ac:dyDescent="0.25">
      <c r="A731" s="4">
        <v>41994.908194444448</v>
      </c>
      <c r="B731" s="2" t="s">
        <v>313</v>
      </c>
      <c r="C731" s="2" t="s">
        <v>26</v>
      </c>
      <c r="D731" s="2" t="str">
        <f>"9780470932490"</f>
        <v>9780470932490</v>
      </c>
      <c r="E731" s="2">
        <v>588918</v>
      </c>
    </row>
    <row r="732" spans="1:5" x14ac:dyDescent="0.25">
      <c r="A732" s="4">
        <v>41994.89607638889</v>
      </c>
      <c r="B732" s="2" t="s">
        <v>1622</v>
      </c>
      <c r="C732" s="2" t="s">
        <v>28</v>
      </c>
      <c r="D732" s="2" t="str">
        <f>"9780253108395"</f>
        <v>9780253108395</v>
      </c>
      <c r="E732" s="2">
        <v>121820</v>
      </c>
    </row>
    <row r="733" spans="1:5" x14ac:dyDescent="0.25">
      <c r="A733" s="4">
        <v>41978.551111111112</v>
      </c>
      <c r="B733" s="2" t="s">
        <v>2570</v>
      </c>
      <c r="C733" s="2" t="s">
        <v>26</v>
      </c>
      <c r="D733" s="2" t="str">
        <f>"9780470692868"</f>
        <v>9780470692868</v>
      </c>
      <c r="E733" s="2">
        <v>351023</v>
      </c>
    </row>
    <row r="734" spans="1:5" x14ac:dyDescent="0.25">
      <c r="A734" s="4">
        <v>41994.908229166664</v>
      </c>
      <c r="B734" s="2" t="s">
        <v>213</v>
      </c>
      <c r="C734" s="2" t="s">
        <v>26</v>
      </c>
      <c r="D734" s="2" t="str">
        <f>"9781444396119"</f>
        <v>9781444396119</v>
      </c>
      <c r="E734" s="2">
        <v>707977</v>
      </c>
    </row>
    <row r="735" spans="1:5" x14ac:dyDescent="0.25">
      <c r="A735" s="4">
        <v>41994.89912037037</v>
      </c>
      <c r="B735" s="2" t="s">
        <v>1168</v>
      </c>
      <c r="C735" s="2" t="s">
        <v>63</v>
      </c>
      <c r="D735" s="2" t="str">
        <f>"9781400846078"</f>
        <v>9781400846078</v>
      </c>
      <c r="E735" s="2">
        <v>1160065</v>
      </c>
    </row>
    <row r="736" spans="1:5" x14ac:dyDescent="0.25">
      <c r="A736" s="4">
        <v>41994.908159722225</v>
      </c>
      <c r="B736" s="2" t="s">
        <v>395</v>
      </c>
      <c r="C736" s="2" t="s">
        <v>160</v>
      </c>
      <c r="D736" s="2" t="str">
        <f>"9780470017746"</f>
        <v>9780470017746</v>
      </c>
      <c r="E736" s="2">
        <v>253824</v>
      </c>
    </row>
    <row r="737" spans="1:5" x14ac:dyDescent="0.25">
      <c r="A737" s="4">
        <v>41934.846944444442</v>
      </c>
      <c r="B737" s="2" t="s">
        <v>3047</v>
      </c>
      <c r="C737" s="2" t="s">
        <v>2404</v>
      </c>
      <c r="D737" s="2" t="str">
        <f>"9780335241040"</f>
        <v>9780335241040</v>
      </c>
      <c r="E737" s="2">
        <v>557102</v>
      </c>
    </row>
    <row r="738" spans="1:5" x14ac:dyDescent="0.25">
      <c r="A738" s="4">
        <v>41982.691770833335</v>
      </c>
      <c r="B738" s="2" t="s">
        <v>2426</v>
      </c>
      <c r="C738" s="2" t="s">
        <v>1934</v>
      </c>
      <c r="D738" s="2" t="str">
        <f>"9781408107461"</f>
        <v>9781408107461</v>
      </c>
      <c r="E738" s="2">
        <v>1310741</v>
      </c>
    </row>
    <row r="739" spans="1:5" x14ac:dyDescent="0.25">
      <c r="A739" s="4">
        <v>41994.899143518516</v>
      </c>
      <c r="B739" s="2" t="s">
        <v>1081</v>
      </c>
      <c r="C739" s="2" t="s">
        <v>63</v>
      </c>
      <c r="D739" s="2" t="str">
        <f>"9781400835843"</f>
        <v>9781400835843</v>
      </c>
      <c r="E739" s="2">
        <v>1637568</v>
      </c>
    </row>
    <row r="740" spans="1:5" x14ac:dyDescent="0.25">
      <c r="A740" s="4">
        <v>41994.899143518516</v>
      </c>
      <c r="B740" s="2" t="s">
        <v>1081</v>
      </c>
      <c r="C740" s="2" t="s">
        <v>63</v>
      </c>
      <c r="D740" s="2" t="str">
        <f>"9781400835850"</f>
        <v>9781400835850</v>
      </c>
      <c r="E740" s="2">
        <v>1632631</v>
      </c>
    </row>
    <row r="741" spans="1:5" x14ac:dyDescent="0.25">
      <c r="A741" s="4">
        <v>41994.899143518516</v>
      </c>
      <c r="B741" s="2" t="s">
        <v>1089</v>
      </c>
      <c r="C741" s="2" t="s">
        <v>63</v>
      </c>
      <c r="D741" s="2" t="str">
        <f>"9781400850136"</f>
        <v>9781400850136</v>
      </c>
      <c r="E741" s="2">
        <v>1603112</v>
      </c>
    </row>
    <row r="742" spans="1:5" x14ac:dyDescent="0.25">
      <c r="A742" s="4">
        <v>41994.908194444448</v>
      </c>
      <c r="B742" s="2" t="s">
        <v>310</v>
      </c>
      <c r="C742" s="2" t="s">
        <v>26</v>
      </c>
      <c r="D742" s="2" t="str">
        <f>"9780470769720"</f>
        <v>9780470769720</v>
      </c>
      <c r="E742" s="2">
        <v>589048</v>
      </c>
    </row>
    <row r="743" spans="1:5" x14ac:dyDescent="0.25">
      <c r="A743" s="4">
        <v>41994.902013888888</v>
      </c>
      <c r="B743" s="2" t="s">
        <v>675</v>
      </c>
      <c r="C743" s="2" t="s">
        <v>119</v>
      </c>
      <c r="D743" s="2" t="str">
        <f>"9780520943872"</f>
        <v>9780520943872</v>
      </c>
      <c r="E743" s="2">
        <v>1609005</v>
      </c>
    </row>
    <row r="744" spans="1:5" x14ac:dyDescent="0.25">
      <c r="A744" s="4">
        <v>41994.892905092594</v>
      </c>
      <c r="B744" s="2" t="s">
        <v>1759</v>
      </c>
      <c r="C744" s="2" t="s">
        <v>16</v>
      </c>
      <c r="D744" s="2" t="str">
        <f>"9781606235140"</f>
        <v>9781606235140</v>
      </c>
      <c r="E744" s="2">
        <v>465654</v>
      </c>
    </row>
    <row r="745" spans="1:5" x14ac:dyDescent="0.25">
      <c r="A745" s="4">
        <v>41994.892893518518</v>
      </c>
      <c r="B745" s="2" t="s">
        <v>1779</v>
      </c>
      <c r="C745" s="2" t="s">
        <v>16</v>
      </c>
      <c r="D745" s="2" t="str">
        <f>"9781606230480"</f>
        <v>9781606230480</v>
      </c>
      <c r="E745" s="2">
        <v>352276</v>
      </c>
    </row>
    <row r="746" spans="1:5" x14ac:dyDescent="0.25">
      <c r="A746" s="4">
        <v>41917.91300925926</v>
      </c>
      <c r="B746" s="2" t="s">
        <v>3449</v>
      </c>
      <c r="C746" s="2" t="s">
        <v>16</v>
      </c>
      <c r="D746" s="2" t="str">
        <f>"9781606230497"</f>
        <v>9781606230497</v>
      </c>
      <c r="E746" s="2">
        <v>352277</v>
      </c>
    </row>
    <row r="747" spans="1:5" x14ac:dyDescent="0.25">
      <c r="A747" s="4">
        <v>41962.01840277778</v>
      </c>
      <c r="B747" s="2" t="s">
        <v>2993</v>
      </c>
      <c r="C747" s="2" t="s">
        <v>26</v>
      </c>
      <c r="D747" s="2" t="str">
        <f>"9780470881941"</f>
        <v>9780470881941</v>
      </c>
      <c r="E747" s="2">
        <v>706722</v>
      </c>
    </row>
    <row r="748" spans="1:5" x14ac:dyDescent="0.25">
      <c r="A748" s="4">
        <v>41994.884976851848</v>
      </c>
      <c r="B748" s="2" t="s">
        <v>2151</v>
      </c>
      <c r="C748" s="2" t="s">
        <v>18</v>
      </c>
      <c r="D748" s="2" t="str">
        <f>"9781441188120"</f>
        <v>9781441188120</v>
      </c>
      <c r="E748" s="2">
        <v>454771</v>
      </c>
    </row>
    <row r="749" spans="1:5" x14ac:dyDescent="0.25">
      <c r="A749" s="4">
        <v>41994.899131944447</v>
      </c>
      <c r="B749" s="2" t="s">
        <v>1137</v>
      </c>
      <c r="C749" s="2" t="s">
        <v>63</v>
      </c>
      <c r="D749" s="2" t="str">
        <f>"9781400848102"</f>
        <v>9781400848102</v>
      </c>
      <c r="E749" s="2">
        <v>1341875</v>
      </c>
    </row>
    <row r="750" spans="1:5" x14ac:dyDescent="0.25">
      <c r="A750" s="4">
        <v>41994.908229166664</v>
      </c>
      <c r="B750" s="2" t="s">
        <v>200</v>
      </c>
      <c r="C750" s="2" t="s">
        <v>26</v>
      </c>
      <c r="D750" s="2" t="str">
        <f>"9781118145869"</f>
        <v>9781118145869</v>
      </c>
      <c r="E750" s="2">
        <v>817358</v>
      </c>
    </row>
    <row r="751" spans="1:5" x14ac:dyDescent="0.25">
      <c r="A751" s="4">
        <v>41988.372569444444</v>
      </c>
      <c r="B751" s="2" t="s">
        <v>2301</v>
      </c>
      <c r="C751" s="2" t="s">
        <v>160</v>
      </c>
      <c r="D751" s="2" t="str">
        <f>"9781405178501"</f>
        <v>9781405178501</v>
      </c>
      <c r="E751" s="2">
        <v>293123</v>
      </c>
    </row>
    <row r="752" spans="1:5" x14ac:dyDescent="0.25">
      <c r="A752" s="4">
        <v>41931.688368055555</v>
      </c>
      <c r="B752" s="2" t="s">
        <v>3139</v>
      </c>
      <c r="C752" s="2" t="s">
        <v>5</v>
      </c>
      <c r="D752" s="2" t="str">
        <f>"9781846426605"</f>
        <v>9781846426605</v>
      </c>
      <c r="E752" s="2">
        <v>334104</v>
      </c>
    </row>
    <row r="753" spans="1:5" x14ac:dyDescent="0.25">
      <c r="A753" s="4">
        <v>41904.712835648148</v>
      </c>
      <c r="B753" s="2" t="s">
        <v>3769</v>
      </c>
      <c r="C753" s="2" t="s">
        <v>7</v>
      </c>
      <c r="D753" s="2" t="str">
        <f>"9781452213484"</f>
        <v>9781452213484</v>
      </c>
      <c r="E753" s="2">
        <v>1159825</v>
      </c>
    </row>
    <row r="754" spans="1:5" x14ac:dyDescent="0.25">
      <c r="A754" s="4">
        <v>41994.878761574073</v>
      </c>
      <c r="B754" s="2" t="s">
        <v>2176</v>
      </c>
      <c r="C754" s="2" t="s">
        <v>2170</v>
      </c>
      <c r="D754" s="2" t="str">
        <f>"9781783600045"</f>
        <v>9781783600045</v>
      </c>
      <c r="E754" s="2">
        <v>1696464</v>
      </c>
    </row>
    <row r="755" spans="1:5" x14ac:dyDescent="0.25">
      <c r="A755" s="4">
        <v>41994.896168981482</v>
      </c>
      <c r="B755" s="2" t="s">
        <v>1473</v>
      </c>
      <c r="C755" s="2" t="s">
        <v>28</v>
      </c>
      <c r="D755" s="2" t="str">
        <f>"9780253008480"</f>
        <v>9780253008480</v>
      </c>
      <c r="E755" s="2">
        <v>1211185</v>
      </c>
    </row>
    <row r="756" spans="1:5" x14ac:dyDescent="0.25">
      <c r="A756" s="4">
        <v>41983.890972222223</v>
      </c>
      <c r="B756" s="2" t="s">
        <v>2385</v>
      </c>
      <c r="C756" s="2" t="s">
        <v>424</v>
      </c>
      <c r="D756" s="2" t="str">
        <f>"9780807860359"</f>
        <v>9780807860359</v>
      </c>
      <c r="E756" s="2">
        <v>413317</v>
      </c>
    </row>
    <row r="757" spans="1:5" x14ac:dyDescent="0.25">
      <c r="A757" s="4">
        <v>41927.033541666664</v>
      </c>
      <c r="B757" s="2" t="s">
        <v>3229</v>
      </c>
      <c r="C757" s="2" t="s">
        <v>18</v>
      </c>
      <c r="D757" s="2" t="str">
        <f>"9781441139252"</f>
        <v>9781441139252</v>
      </c>
      <c r="E757" s="2">
        <v>1334439</v>
      </c>
    </row>
    <row r="758" spans="1:5" x14ac:dyDescent="0.25">
      <c r="A758" s="4">
        <v>41976.420567129629</v>
      </c>
      <c r="B758" s="2" t="s">
        <v>2714</v>
      </c>
      <c r="C758" s="2" t="s">
        <v>18</v>
      </c>
      <c r="D758" s="2" t="str">
        <f>"9781441144683"</f>
        <v>9781441144683</v>
      </c>
      <c r="E758" s="2">
        <v>1050475</v>
      </c>
    </row>
    <row r="759" spans="1:5" x14ac:dyDescent="0.25">
      <c r="A759" s="4">
        <v>41931.805983796294</v>
      </c>
      <c r="B759" s="2" t="s">
        <v>3134</v>
      </c>
      <c r="C759" s="2" t="s">
        <v>160</v>
      </c>
      <c r="D759" s="2" t="str">
        <f>"9781444323603"</f>
        <v>9781444323603</v>
      </c>
      <c r="E759" s="2">
        <v>534004</v>
      </c>
    </row>
    <row r="760" spans="1:5" x14ac:dyDescent="0.25">
      <c r="A760" s="4">
        <v>43244.46802083333</v>
      </c>
      <c r="B760" s="2" t="s">
        <v>9</v>
      </c>
      <c r="C760" s="2" t="s">
        <v>7</v>
      </c>
      <c r="D760" s="2" t="str">
        <f>"9789386602787"</f>
        <v>9789386602787</v>
      </c>
      <c r="E760" s="2">
        <v>5131486</v>
      </c>
    </row>
    <row r="761" spans="1:5" x14ac:dyDescent="0.25">
      <c r="A761" s="4">
        <v>41994.899131944447</v>
      </c>
      <c r="B761" s="2" t="s">
        <v>1153</v>
      </c>
      <c r="C761" s="2" t="s">
        <v>63</v>
      </c>
      <c r="D761" s="2" t="str">
        <f>"9781400848508"</f>
        <v>9781400848508</v>
      </c>
      <c r="E761" s="2">
        <v>1213975</v>
      </c>
    </row>
    <row r="762" spans="1:5" x14ac:dyDescent="0.25">
      <c r="A762" s="4">
        <v>41974.588865740741</v>
      </c>
      <c r="B762" s="2" t="s">
        <v>2952</v>
      </c>
      <c r="C762" s="2" t="s">
        <v>7</v>
      </c>
      <c r="D762" s="2" t="str">
        <f>"9781452246574"</f>
        <v>9781452246574</v>
      </c>
      <c r="E762" s="2">
        <v>1598481</v>
      </c>
    </row>
    <row r="763" spans="1:5" x14ac:dyDescent="0.25">
      <c r="A763" s="4">
        <v>41988.606666666667</v>
      </c>
      <c r="B763" s="2" t="s">
        <v>2282</v>
      </c>
      <c r="C763" s="2" t="s">
        <v>2283</v>
      </c>
      <c r="D763" s="2" t="str">
        <f>"9789027291141"</f>
        <v>9789027291141</v>
      </c>
      <c r="E763" s="2">
        <v>622357</v>
      </c>
    </row>
    <row r="764" spans="1:5" x14ac:dyDescent="0.25">
      <c r="A764" s="4">
        <v>41838.556527777779</v>
      </c>
      <c r="B764" s="2" t="s">
        <v>3979</v>
      </c>
      <c r="C764" s="2" t="s">
        <v>26</v>
      </c>
      <c r="D764" s="2" t="str">
        <f>"9780471753537"</f>
        <v>9780471753537</v>
      </c>
      <c r="E764" s="2">
        <v>244306</v>
      </c>
    </row>
    <row r="765" spans="1:5" x14ac:dyDescent="0.25">
      <c r="A765" s="4">
        <v>41979.83730324074</v>
      </c>
      <c r="B765" s="2" t="s">
        <v>2528</v>
      </c>
      <c r="C765" s="2" t="s">
        <v>7</v>
      </c>
      <c r="D765" s="2" t="str">
        <f>"9781446264164"</f>
        <v>9781446264164</v>
      </c>
      <c r="E765" s="2">
        <v>1024026</v>
      </c>
    </row>
    <row r="766" spans="1:5" x14ac:dyDescent="0.25">
      <c r="A766" s="4">
        <v>41994.889884259261</v>
      </c>
      <c r="B766" s="2" t="s">
        <v>1870</v>
      </c>
      <c r="C766" s="2" t="s">
        <v>72</v>
      </c>
      <c r="D766" s="2" t="str">
        <f>"9780748646128"</f>
        <v>9780748646128</v>
      </c>
      <c r="E766" s="2">
        <v>714143</v>
      </c>
    </row>
    <row r="767" spans="1:5" x14ac:dyDescent="0.25">
      <c r="A767" s="4">
        <v>41994.896134259259</v>
      </c>
      <c r="B767" s="2" t="s">
        <v>1537</v>
      </c>
      <c r="C767" s="2" t="s">
        <v>28</v>
      </c>
      <c r="D767" s="2" t="str">
        <f>"9780253001405"</f>
        <v>9780253001405</v>
      </c>
      <c r="E767" s="2">
        <v>713678</v>
      </c>
    </row>
    <row r="768" spans="1:5" x14ac:dyDescent="0.25">
      <c r="A768" s="4">
        <v>41994.88994212963</v>
      </c>
      <c r="B768" s="2" t="s">
        <v>1794</v>
      </c>
      <c r="C768" s="2" t="s">
        <v>72</v>
      </c>
      <c r="D768" s="2" t="str">
        <f>"9780748694082"</f>
        <v>9780748694082</v>
      </c>
      <c r="E768" s="2">
        <v>1767559</v>
      </c>
    </row>
    <row r="769" spans="1:5" x14ac:dyDescent="0.25">
      <c r="A769" s="4">
        <v>41994.88989583333</v>
      </c>
      <c r="B769" s="2" t="s">
        <v>1862</v>
      </c>
      <c r="C769" s="2" t="s">
        <v>72</v>
      </c>
      <c r="D769" s="2" t="str">
        <f>"9780748646999"</f>
        <v>9780748646999</v>
      </c>
      <c r="E769" s="2">
        <v>744033</v>
      </c>
    </row>
    <row r="770" spans="1:5" x14ac:dyDescent="0.25">
      <c r="A770" s="4">
        <v>41994.889872685184</v>
      </c>
      <c r="B770" s="2" t="s">
        <v>1884</v>
      </c>
      <c r="C770" s="2" t="s">
        <v>72</v>
      </c>
      <c r="D770" s="2" t="str">
        <f>"9780748643240"</f>
        <v>9780748643240</v>
      </c>
      <c r="E770" s="2">
        <v>615831</v>
      </c>
    </row>
    <row r="771" spans="1:5" x14ac:dyDescent="0.25">
      <c r="A771" s="4">
        <v>41994.892928240741</v>
      </c>
      <c r="B771" s="2" t="s">
        <v>1696</v>
      </c>
      <c r="C771" s="2" t="s">
        <v>16</v>
      </c>
      <c r="D771" s="2" t="str">
        <f>"9781609189969"</f>
        <v>9781609189969</v>
      </c>
      <c r="E771" s="2">
        <v>836857</v>
      </c>
    </row>
    <row r="772" spans="1:5" x14ac:dyDescent="0.25">
      <c r="A772" s="4">
        <v>41911.772986111115</v>
      </c>
      <c r="B772" s="2" t="s">
        <v>3585</v>
      </c>
      <c r="C772" s="2" t="s">
        <v>7</v>
      </c>
      <c r="D772" s="2" t="str">
        <f>"9781483302058"</f>
        <v>9781483302058</v>
      </c>
      <c r="E772" s="2">
        <v>1160180</v>
      </c>
    </row>
    <row r="773" spans="1:5" x14ac:dyDescent="0.25">
      <c r="A773" s="4">
        <v>41933.475601851853</v>
      </c>
      <c r="B773" s="2" t="s">
        <v>3095</v>
      </c>
      <c r="C773" s="2" t="s">
        <v>7</v>
      </c>
      <c r="D773" s="2" t="str">
        <f>"9781452221380"</f>
        <v>9781452221380</v>
      </c>
      <c r="E773" s="2">
        <v>1016391</v>
      </c>
    </row>
    <row r="774" spans="1:5" x14ac:dyDescent="0.25">
      <c r="A774" s="4">
        <v>41994.908171296294</v>
      </c>
      <c r="B774" s="2" t="s">
        <v>359</v>
      </c>
      <c r="C774" s="2" t="s">
        <v>160</v>
      </c>
      <c r="D774" s="2" t="str">
        <f>"9780470712566"</f>
        <v>9780470712566</v>
      </c>
      <c r="E774" s="2">
        <v>366886</v>
      </c>
    </row>
    <row r="775" spans="1:5" x14ac:dyDescent="0.25">
      <c r="A775" s="4">
        <v>41994.905601851853</v>
      </c>
      <c r="B775" s="2" t="s">
        <v>514</v>
      </c>
      <c r="C775" s="2" t="s">
        <v>424</v>
      </c>
      <c r="D775" s="2" t="str">
        <f>"9780807864425"</f>
        <v>9780807864425</v>
      </c>
      <c r="E775" s="2">
        <v>880405</v>
      </c>
    </row>
    <row r="776" spans="1:5" x14ac:dyDescent="0.25">
      <c r="A776" s="4">
        <v>41916.434907407405</v>
      </c>
      <c r="B776" s="2" t="s">
        <v>3479</v>
      </c>
      <c r="C776" s="2" t="s">
        <v>26</v>
      </c>
      <c r="D776" s="2" t="str">
        <f>"9780470549810"</f>
        <v>9780470549810</v>
      </c>
      <c r="E776" s="2">
        <v>468738</v>
      </c>
    </row>
    <row r="777" spans="1:5" x14ac:dyDescent="0.25">
      <c r="A777" s="4">
        <v>41982.564560185187</v>
      </c>
      <c r="B777" s="2" t="s">
        <v>2433</v>
      </c>
      <c r="C777" s="2" t="s">
        <v>26</v>
      </c>
      <c r="D777" s="2" t="str">
        <f>"9780470459058"</f>
        <v>9780470459058</v>
      </c>
      <c r="E777" s="2">
        <v>427686</v>
      </c>
    </row>
    <row r="778" spans="1:5" x14ac:dyDescent="0.25">
      <c r="A778" s="4">
        <v>41974.793668981481</v>
      </c>
      <c r="B778" s="2" t="s">
        <v>2913</v>
      </c>
      <c r="C778" s="2" t="s">
        <v>26</v>
      </c>
      <c r="D778" s="2" t="str">
        <f>"9781444358827"</f>
        <v>9781444358827</v>
      </c>
      <c r="E778" s="2">
        <v>819414</v>
      </c>
    </row>
    <row r="779" spans="1:5" x14ac:dyDescent="0.25">
      <c r="A779" s="4">
        <v>41994.885000000002</v>
      </c>
      <c r="B779" s="2" t="s">
        <v>2111</v>
      </c>
      <c r="C779" s="2" t="s">
        <v>18</v>
      </c>
      <c r="D779" s="2" t="str">
        <f>"9781441156327"</f>
        <v>9781441156327</v>
      </c>
      <c r="E779" s="2">
        <v>617178</v>
      </c>
    </row>
    <row r="780" spans="1:5" x14ac:dyDescent="0.25">
      <c r="A780" s="4">
        <v>41994.896134259259</v>
      </c>
      <c r="B780" s="2" t="s">
        <v>1524</v>
      </c>
      <c r="C780" s="2" t="s">
        <v>28</v>
      </c>
      <c r="D780" s="2" t="str">
        <f>"9780253001276"</f>
        <v>9780253001276</v>
      </c>
      <c r="E780" s="2">
        <v>816830</v>
      </c>
    </row>
    <row r="781" spans="1:5" x14ac:dyDescent="0.25">
      <c r="A781" s="4">
        <v>41994.901967592596</v>
      </c>
      <c r="B781" s="2" t="s">
        <v>812</v>
      </c>
      <c r="C781" s="2" t="s">
        <v>119</v>
      </c>
      <c r="D781" s="2" t="str">
        <f>"9780520911185"</f>
        <v>9780520911185</v>
      </c>
      <c r="E781" s="2">
        <v>837316</v>
      </c>
    </row>
    <row r="782" spans="1:5" x14ac:dyDescent="0.25">
      <c r="A782" s="4">
        <v>41994.892939814818</v>
      </c>
      <c r="B782" s="2" t="s">
        <v>1652</v>
      </c>
      <c r="C782" s="2" t="s">
        <v>16</v>
      </c>
      <c r="D782" s="2" t="str">
        <f>"9781462511112"</f>
        <v>9781462511112</v>
      </c>
      <c r="E782" s="2">
        <v>1215396</v>
      </c>
    </row>
    <row r="783" spans="1:5" x14ac:dyDescent="0.25">
      <c r="A783" s="4">
        <v>41976.114293981482</v>
      </c>
      <c r="B783" s="2" t="s">
        <v>2729</v>
      </c>
      <c r="C783" s="2" t="s">
        <v>18</v>
      </c>
      <c r="D783" s="2" t="str">
        <f>"9781441109217"</f>
        <v>9781441109217</v>
      </c>
      <c r="E783" s="2">
        <v>742603</v>
      </c>
    </row>
    <row r="784" spans="1:5" x14ac:dyDescent="0.25">
      <c r="A784" s="4">
        <v>41994.896111111113</v>
      </c>
      <c r="B784" s="2" t="s">
        <v>1578</v>
      </c>
      <c r="C784" s="2" t="s">
        <v>28</v>
      </c>
      <c r="D784" s="2" t="str">
        <f>"9780253004321"</f>
        <v>9780253004321</v>
      </c>
      <c r="E784" s="2">
        <v>547024</v>
      </c>
    </row>
    <row r="785" spans="1:5" x14ac:dyDescent="0.25">
      <c r="A785" s="4">
        <v>41994.901932870373</v>
      </c>
      <c r="B785" s="2" t="s">
        <v>930</v>
      </c>
      <c r="C785" s="2" t="s">
        <v>119</v>
      </c>
      <c r="D785" s="2" t="str">
        <f>"9780520944916"</f>
        <v>9780520944916</v>
      </c>
      <c r="E785" s="2">
        <v>481215</v>
      </c>
    </row>
    <row r="786" spans="1:5" x14ac:dyDescent="0.25">
      <c r="A786" s="4">
        <v>41994.905578703707</v>
      </c>
      <c r="B786" s="2" t="s">
        <v>581</v>
      </c>
      <c r="C786" s="2" t="s">
        <v>96</v>
      </c>
      <c r="D786" s="2" t="str">
        <f>"9781469611020"</f>
        <v>9781469611020</v>
      </c>
      <c r="E786" s="2">
        <v>605937</v>
      </c>
    </row>
    <row r="787" spans="1:5" x14ac:dyDescent="0.25">
      <c r="A787" s="4">
        <v>41933.651284722226</v>
      </c>
      <c r="B787" s="2" t="s">
        <v>3083</v>
      </c>
      <c r="C787" s="2" t="s">
        <v>63</v>
      </c>
      <c r="D787" s="2" t="str">
        <f>"9781400828203"</f>
        <v>9781400828203</v>
      </c>
      <c r="E787" s="2">
        <v>445517</v>
      </c>
    </row>
    <row r="788" spans="1:5" x14ac:dyDescent="0.25">
      <c r="A788" s="4">
        <v>41975.977719907409</v>
      </c>
      <c r="B788" s="2" t="s">
        <v>2746</v>
      </c>
      <c r="C788" s="2" t="s">
        <v>7</v>
      </c>
      <c r="D788" s="2" t="str">
        <f>"9781848605671"</f>
        <v>9781848605671</v>
      </c>
      <c r="E788" s="2">
        <v>354972</v>
      </c>
    </row>
    <row r="789" spans="1:5" x14ac:dyDescent="0.25">
      <c r="A789" s="4">
        <v>41902.456643518519</v>
      </c>
      <c r="B789" s="2" t="s">
        <v>3810</v>
      </c>
      <c r="C789" s="2" t="s">
        <v>26</v>
      </c>
      <c r="D789" s="2" t="str">
        <f>"9780470711705"</f>
        <v>9780470711705</v>
      </c>
      <c r="E789" s="2">
        <v>624661</v>
      </c>
    </row>
    <row r="790" spans="1:5" x14ac:dyDescent="0.25">
      <c r="A790" s="4">
        <v>41927.007013888891</v>
      </c>
      <c r="B790" s="2" t="s">
        <v>3230</v>
      </c>
      <c r="C790" s="2" t="s">
        <v>5</v>
      </c>
      <c r="D790" s="2" t="str">
        <f>"9780857004017"</f>
        <v>9780857004017</v>
      </c>
      <c r="E790" s="2">
        <v>864058</v>
      </c>
    </row>
    <row r="791" spans="1:5" x14ac:dyDescent="0.25">
      <c r="A791" s="4">
        <v>41994.90556712963</v>
      </c>
      <c r="B791" s="2" t="s">
        <v>624</v>
      </c>
      <c r="C791" s="2" t="s">
        <v>424</v>
      </c>
      <c r="D791" s="2" t="str">
        <f>"9780807863251"</f>
        <v>9780807863251</v>
      </c>
      <c r="E791" s="2">
        <v>413217</v>
      </c>
    </row>
    <row r="792" spans="1:5" x14ac:dyDescent="0.25">
      <c r="A792" s="4">
        <v>41976.475046296298</v>
      </c>
      <c r="B792" s="2" t="s">
        <v>2703</v>
      </c>
      <c r="C792" s="2" t="s">
        <v>160</v>
      </c>
      <c r="D792" s="2" t="str">
        <f>"9781118044254"</f>
        <v>9781118044254</v>
      </c>
      <c r="E792" s="2">
        <v>644783</v>
      </c>
    </row>
    <row r="793" spans="1:5" x14ac:dyDescent="0.25">
      <c r="A793" s="4">
        <v>43178.550115740742</v>
      </c>
      <c r="B793" s="2" t="s">
        <v>77</v>
      </c>
      <c r="C793" s="2" t="s">
        <v>7</v>
      </c>
      <c r="D793" s="2" t="str">
        <f>"9781483313535"</f>
        <v>9781483313535</v>
      </c>
      <c r="E793" s="2">
        <v>1921123</v>
      </c>
    </row>
    <row r="794" spans="1:5" x14ac:dyDescent="0.25">
      <c r="A794" s="4">
        <v>41994.889826388891</v>
      </c>
      <c r="B794" s="2" t="s">
        <v>1926</v>
      </c>
      <c r="C794" s="2" t="s">
        <v>72</v>
      </c>
      <c r="D794" s="2" t="str">
        <f>"9780748627127"</f>
        <v>9780748627127</v>
      </c>
      <c r="E794" s="2">
        <v>313190</v>
      </c>
    </row>
    <row r="795" spans="1:5" x14ac:dyDescent="0.25">
      <c r="A795" s="4">
        <v>41994.889918981484</v>
      </c>
      <c r="B795" s="2" t="s">
        <v>1839</v>
      </c>
      <c r="C795" s="2" t="s">
        <v>72</v>
      </c>
      <c r="D795" s="2" t="str">
        <f>"9780748644575"</f>
        <v>9780748644575</v>
      </c>
      <c r="E795" s="2">
        <v>1126570</v>
      </c>
    </row>
    <row r="796" spans="1:5" x14ac:dyDescent="0.25">
      <c r="A796" s="4">
        <v>41994.908171296294</v>
      </c>
      <c r="B796" s="2" t="s">
        <v>382</v>
      </c>
      <c r="C796" s="2" t="s">
        <v>26</v>
      </c>
      <c r="D796" s="2" t="str">
        <f>"9780470175064"</f>
        <v>9780470175064</v>
      </c>
      <c r="E796" s="2">
        <v>316187</v>
      </c>
    </row>
    <row r="797" spans="1:5" x14ac:dyDescent="0.25">
      <c r="A797" s="4">
        <v>41994.885057870371</v>
      </c>
      <c r="B797" s="2" t="s">
        <v>1954</v>
      </c>
      <c r="C797" s="2" t="s">
        <v>18</v>
      </c>
      <c r="D797" s="2" t="str">
        <f>"9781408116906"</f>
        <v>9781408116906</v>
      </c>
      <c r="E797" s="2">
        <v>1683524</v>
      </c>
    </row>
    <row r="798" spans="1:5" x14ac:dyDescent="0.25">
      <c r="A798" s="4">
        <v>41994.892939814818</v>
      </c>
      <c r="B798" s="2" t="s">
        <v>1645</v>
      </c>
      <c r="C798" s="2" t="s">
        <v>16</v>
      </c>
      <c r="D798" s="2" t="str">
        <f>"9781462512805"</f>
        <v>9781462512805</v>
      </c>
      <c r="E798" s="2">
        <v>1441248</v>
      </c>
    </row>
    <row r="799" spans="1:5" x14ac:dyDescent="0.25">
      <c r="A799" s="4">
        <v>41975.834317129629</v>
      </c>
      <c r="B799" s="2" t="s">
        <v>2774</v>
      </c>
      <c r="C799" s="2" t="s">
        <v>7</v>
      </c>
      <c r="D799" s="2" t="str">
        <f>"9781452263267"</f>
        <v>9781452263267</v>
      </c>
      <c r="E799" s="2">
        <v>996688</v>
      </c>
    </row>
    <row r="800" spans="1:5" x14ac:dyDescent="0.25">
      <c r="A800" s="4">
        <v>41929.131736111114</v>
      </c>
      <c r="B800" s="2" t="s">
        <v>3182</v>
      </c>
      <c r="C800" s="2" t="s">
        <v>7</v>
      </c>
      <c r="D800" s="2" t="str">
        <f>"9781412933360"</f>
        <v>9781412933360</v>
      </c>
      <c r="E800" s="2">
        <v>254732</v>
      </c>
    </row>
    <row r="801" spans="1:5" x14ac:dyDescent="0.25">
      <c r="A801" s="4">
        <v>41921.307187500002</v>
      </c>
      <c r="B801" s="2" t="s">
        <v>3351</v>
      </c>
      <c r="C801" s="2" t="s">
        <v>7</v>
      </c>
      <c r="D801" s="2" t="str">
        <f>"9781412932141"</f>
        <v>9781412932141</v>
      </c>
      <c r="E801" s="2">
        <v>254733</v>
      </c>
    </row>
    <row r="802" spans="1:5" x14ac:dyDescent="0.25">
      <c r="A802" s="4">
        <v>43194.613993055558</v>
      </c>
      <c r="B802" s="2" t="s">
        <v>67</v>
      </c>
      <c r="C802" s="2" t="s">
        <v>13</v>
      </c>
      <c r="D802" s="2" t="str">
        <f>"9781615046553"</f>
        <v>9781615046553</v>
      </c>
      <c r="E802" s="2">
        <v>1812520</v>
      </c>
    </row>
    <row r="803" spans="1:5" x14ac:dyDescent="0.25">
      <c r="A803" s="4">
        <v>41994.902002314811</v>
      </c>
      <c r="B803" s="2" t="s">
        <v>700</v>
      </c>
      <c r="C803" s="2" t="s">
        <v>119</v>
      </c>
      <c r="D803" s="2" t="str">
        <f>"9780520956681"</f>
        <v>9780520956681</v>
      </c>
      <c r="E803" s="2">
        <v>1251019</v>
      </c>
    </row>
    <row r="804" spans="1:5" x14ac:dyDescent="0.25">
      <c r="A804" s="4">
        <v>41994.899155092593</v>
      </c>
      <c r="B804" s="2" t="s">
        <v>1065</v>
      </c>
      <c r="C804" s="2" t="s">
        <v>63</v>
      </c>
      <c r="D804" s="2" t="str">
        <f>"9781400852031"</f>
        <v>9781400852031</v>
      </c>
      <c r="E804" s="2">
        <v>1699522</v>
      </c>
    </row>
    <row r="805" spans="1:5" x14ac:dyDescent="0.25">
      <c r="A805" s="4">
        <v>41994.905601851853</v>
      </c>
      <c r="B805" s="2" t="s">
        <v>532</v>
      </c>
      <c r="C805" s="2" t="s">
        <v>96</v>
      </c>
      <c r="D805" s="2" t="str">
        <f>"9780807869901"</f>
        <v>9780807869901</v>
      </c>
      <c r="E805" s="2">
        <v>877307</v>
      </c>
    </row>
    <row r="806" spans="1:5" x14ac:dyDescent="0.25">
      <c r="A806" s="4">
        <v>41976.770451388889</v>
      </c>
      <c r="B806" s="2" t="s">
        <v>2636</v>
      </c>
      <c r="C806" s="2" t="s">
        <v>16</v>
      </c>
      <c r="D806" s="2" t="str">
        <f>"9781462513192"</f>
        <v>9781462513192</v>
      </c>
      <c r="E806" s="2">
        <v>1564560</v>
      </c>
    </row>
    <row r="807" spans="1:5" x14ac:dyDescent="0.25">
      <c r="A807" s="4">
        <v>41994.902002314811</v>
      </c>
      <c r="B807" s="2" t="s">
        <v>707</v>
      </c>
      <c r="C807" s="2" t="s">
        <v>119</v>
      </c>
      <c r="D807" s="2" t="str">
        <f>"9780520953932"</f>
        <v>9780520953932</v>
      </c>
      <c r="E807" s="2">
        <v>1190427</v>
      </c>
    </row>
    <row r="808" spans="1:5" x14ac:dyDescent="0.25">
      <c r="A808" s="4">
        <v>41994.905624999999</v>
      </c>
      <c r="B808" s="2" t="s">
        <v>478</v>
      </c>
      <c r="C808" s="2" t="s">
        <v>96</v>
      </c>
      <c r="D808" s="2" t="str">
        <f>"9781469606910"</f>
        <v>9781469606910</v>
      </c>
      <c r="E808" s="2">
        <v>1120502</v>
      </c>
    </row>
    <row r="809" spans="1:5" x14ac:dyDescent="0.25">
      <c r="A809" s="4">
        <v>41928.421342592592</v>
      </c>
      <c r="B809" s="2" t="s">
        <v>3204</v>
      </c>
      <c r="C809" s="2" t="s">
        <v>7</v>
      </c>
      <c r="D809" s="2" t="str">
        <f>"9781452261348"</f>
        <v>9781452261348</v>
      </c>
      <c r="E809" s="2">
        <v>1249409</v>
      </c>
    </row>
    <row r="810" spans="1:5" x14ac:dyDescent="0.25">
      <c r="A810" s="4">
        <v>41994.88989583333</v>
      </c>
      <c r="B810" s="2" t="s">
        <v>1861</v>
      </c>
      <c r="C810" s="2" t="s">
        <v>72</v>
      </c>
      <c r="D810" s="2" t="str">
        <f>"9780748647002"</f>
        <v>9780748647002</v>
      </c>
      <c r="E810" s="2">
        <v>744038</v>
      </c>
    </row>
    <row r="811" spans="1:5" x14ac:dyDescent="0.25">
      <c r="A811" s="4">
        <v>41994.908217592594</v>
      </c>
      <c r="B811" s="2" t="s">
        <v>243</v>
      </c>
      <c r="C811" s="2" t="s">
        <v>26</v>
      </c>
      <c r="D811" s="2" t="str">
        <f>"9781118067253"</f>
        <v>9781118067253</v>
      </c>
      <c r="E811" s="2">
        <v>697905</v>
      </c>
    </row>
    <row r="812" spans="1:5" x14ac:dyDescent="0.25">
      <c r="A812" s="4">
        <v>41978.852858796294</v>
      </c>
      <c r="B812" s="2" t="s">
        <v>2551</v>
      </c>
      <c r="C812" s="2" t="s">
        <v>119</v>
      </c>
      <c r="D812" s="2" t="str">
        <f>"9780520934368"</f>
        <v>9780520934368</v>
      </c>
      <c r="E812" s="2">
        <v>470980</v>
      </c>
    </row>
    <row r="813" spans="1:5" x14ac:dyDescent="0.25">
      <c r="A813" s="4">
        <v>41994.899039351854</v>
      </c>
      <c r="B813" s="2" t="s">
        <v>1428</v>
      </c>
      <c r="C813" s="2" t="s">
        <v>63</v>
      </c>
      <c r="D813" s="2" t="str">
        <f>"9781400825189"</f>
        <v>9781400825189</v>
      </c>
      <c r="E813" s="2">
        <v>445468</v>
      </c>
    </row>
    <row r="814" spans="1:5" x14ac:dyDescent="0.25">
      <c r="A814" s="4">
        <v>41911.719606481478</v>
      </c>
      <c r="B814" s="2" t="s">
        <v>3589</v>
      </c>
      <c r="C814" s="2" t="s">
        <v>160</v>
      </c>
      <c r="D814" s="2" t="str">
        <f>"9780787996727"</f>
        <v>9780787996727</v>
      </c>
      <c r="E814" s="2">
        <v>292465</v>
      </c>
    </row>
    <row r="815" spans="1:5" x14ac:dyDescent="0.25">
      <c r="A815" s="4">
        <v>41994.908217592594</v>
      </c>
      <c r="B815" s="2" t="s">
        <v>262</v>
      </c>
      <c r="C815" s="2" t="s">
        <v>26</v>
      </c>
      <c r="D815" s="2" t="str">
        <f>"9781118129005"</f>
        <v>9781118129005</v>
      </c>
      <c r="E815" s="2">
        <v>693610</v>
      </c>
    </row>
    <row r="816" spans="1:5" x14ac:dyDescent="0.25">
      <c r="A816" s="4">
        <v>41974.706365740742</v>
      </c>
      <c r="B816" s="2" t="s">
        <v>2927</v>
      </c>
      <c r="C816" s="2" t="s">
        <v>28</v>
      </c>
      <c r="D816" s="2" t="str">
        <f>"9780253007568"</f>
        <v>9780253007568</v>
      </c>
      <c r="E816" s="2">
        <v>995566</v>
      </c>
    </row>
    <row r="817" spans="1:5" x14ac:dyDescent="0.25">
      <c r="A817" s="4">
        <v>41928.499814814815</v>
      </c>
      <c r="B817" s="2" t="s">
        <v>3194</v>
      </c>
      <c r="C817" s="2" t="s">
        <v>7</v>
      </c>
      <c r="D817" s="2" t="str">
        <f>"9781446247693"</f>
        <v>9781446247693</v>
      </c>
      <c r="E817" s="2">
        <v>743607</v>
      </c>
    </row>
    <row r="818" spans="1:5" x14ac:dyDescent="0.25">
      <c r="A818" s="4">
        <v>41982.399328703701</v>
      </c>
      <c r="B818" s="2" t="s">
        <v>2447</v>
      </c>
      <c r="C818" s="2" t="s">
        <v>1934</v>
      </c>
      <c r="D818" s="2" t="str">
        <f>"9781441186164"</f>
        <v>9781441186164</v>
      </c>
      <c r="E818" s="2">
        <v>1675039</v>
      </c>
    </row>
    <row r="819" spans="1:5" x14ac:dyDescent="0.25">
      <c r="A819" s="4">
        <v>41994.878761574073</v>
      </c>
      <c r="B819" s="2" t="s">
        <v>2173</v>
      </c>
      <c r="C819" s="2" t="s">
        <v>2170</v>
      </c>
      <c r="D819" s="2" t="str">
        <f>"9781780329550"</f>
        <v>9781780329550</v>
      </c>
      <c r="E819" s="2">
        <v>1696470</v>
      </c>
    </row>
    <row r="820" spans="1:5" x14ac:dyDescent="0.25">
      <c r="A820" s="4">
        <v>41813.793310185189</v>
      </c>
      <c r="B820" s="2" t="s">
        <v>3995</v>
      </c>
      <c r="C820" s="2" t="s">
        <v>7</v>
      </c>
      <c r="D820" s="2" t="str">
        <f>"9781483302072"</f>
        <v>9781483302072</v>
      </c>
      <c r="E820" s="2">
        <v>1160194</v>
      </c>
    </row>
    <row r="821" spans="1:5" x14ac:dyDescent="0.25">
      <c r="A821" s="4">
        <v>41994.905624999999</v>
      </c>
      <c r="B821" s="2" t="s">
        <v>465</v>
      </c>
      <c r="C821" s="2" t="s">
        <v>96</v>
      </c>
      <c r="D821" s="2" t="str">
        <f>"9781469615509"</f>
        <v>9781469615509</v>
      </c>
      <c r="E821" s="2">
        <v>1656086</v>
      </c>
    </row>
    <row r="822" spans="1:5" x14ac:dyDescent="0.25">
      <c r="A822" s="4">
        <v>41994.901921296296</v>
      </c>
      <c r="B822" s="2" t="s">
        <v>967</v>
      </c>
      <c r="C822" s="2" t="s">
        <v>119</v>
      </c>
      <c r="D822" s="2" t="str">
        <f>"9780520939080"</f>
        <v>9780520939080</v>
      </c>
      <c r="E822" s="2">
        <v>254877</v>
      </c>
    </row>
    <row r="823" spans="1:5" x14ac:dyDescent="0.25">
      <c r="A823" s="4">
        <v>41916.781053240738</v>
      </c>
      <c r="B823" s="2" t="s">
        <v>3471</v>
      </c>
      <c r="C823" s="2" t="s">
        <v>7</v>
      </c>
      <c r="D823" s="2" t="str">
        <f>"9781452262383"</f>
        <v>9781452262383</v>
      </c>
      <c r="E823" s="2">
        <v>1016381</v>
      </c>
    </row>
    <row r="824" spans="1:5" x14ac:dyDescent="0.25">
      <c r="A824" s="4">
        <v>41902.413923611108</v>
      </c>
      <c r="B824" s="2" t="s">
        <v>3812</v>
      </c>
      <c r="C824" s="2" t="s">
        <v>7</v>
      </c>
      <c r="D824" s="2" t="str">
        <f>"9781452267210"</f>
        <v>9781452267210</v>
      </c>
      <c r="E824" s="2">
        <v>996740</v>
      </c>
    </row>
    <row r="825" spans="1:5" x14ac:dyDescent="0.25">
      <c r="A825" s="4">
        <v>41994.885057870371</v>
      </c>
      <c r="B825" s="2" t="s">
        <v>1951</v>
      </c>
      <c r="C825" s="2" t="s">
        <v>74</v>
      </c>
      <c r="D825" s="2" t="str">
        <f>"9781623566890"</f>
        <v>9781623566890</v>
      </c>
      <c r="E825" s="2">
        <v>1685652</v>
      </c>
    </row>
    <row r="826" spans="1:5" x14ac:dyDescent="0.25">
      <c r="A826" s="4">
        <v>41994.885034722225</v>
      </c>
      <c r="B826" s="2" t="s">
        <v>2001</v>
      </c>
      <c r="C826" s="2" t="s">
        <v>74</v>
      </c>
      <c r="D826" s="2" t="str">
        <f>"9781441166364"</f>
        <v>9781441166364</v>
      </c>
      <c r="E826" s="2">
        <v>1334442</v>
      </c>
    </row>
    <row r="827" spans="1:5" x14ac:dyDescent="0.25">
      <c r="A827" s="4">
        <v>41994.908182870371</v>
      </c>
      <c r="B827" s="2" t="s">
        <v>353</v>
      </c>
      <c r="C827" s="2" t="s">
        <v>26</v>
      </c>
      <c r="D827" s="2" t="str">
        <f>"9781444306781"</f>
        <v>9781444306781</v>
      </c>
      <c r="E827" s="2">
        <v>437531</v>
      </c>
    </row>
    <row r="828" spans="1:5" x14ac:dyDescent="0.25">
      <c r="A828" s="4">
        <v>41934.390439814815</v>
      </c>
      <c r="B828" s="2" t="s">
        <v>3066</v>
      </c>
      <c r="C828" s="2" t="s">
        <v>26</v>
      </c>
      <c r="D828" s="2" t="str">
        <f>"9781118171653"</f>
        <v>9781118171653</v>
      </c>
      <c r="E828" s="2">
        <v>818972</v>
      </c>
    </row>
    <row r="829" spans="1:5" x14ac:dyDescent="0.25">
      <c r="A829" s="4">
        <v>41994.884965277779</v>
      </c>
      <c r="B829" s="2" t="s">
        <v>2163</v>
      </c>
      <c r="C829" s="2" t="s">
        <v>18</v>
      </c>
      <c r="D829" s="2" t="str">
        <f>"9781847142504"</f>
        <v>9781847142504</v>
      </c>
      <c r="E829" s="2">
        <v>436167</v>
      </c>
    </row>
    <row r="830" spans="1:5" x14ac:dyDescent="0.25">
      <c r="A830" s="4">
        <v>41994.899050925924</v>
      </c>
      <c r="B830" s="2" t="s">
        <v>1392</v>
      </c>
      <c r="C830" s="2" t="s">
        <v>63</v>
      </c>
      <c r="D830" s="2" t="str">
        <f>"9781400831463"</f>
        <v>9781400831463</v>
      </c>
      <c r="E830" s="2">
        <v>483501</v>
      </c>
    </row>
    <row r="831" spans="1:5" x14ac:dyDescent="0.25">
      <c r="A831" s="4">
        <v>41975.427106481482</v>
      </c>
      <c r="B831" s="2" t="s">
        <v>2854</v>
      </c>
      <c r="C831" s="2" t="s">
        <v>2283</v>
      </c>
      <c r="D831" s="2" t="str">
        <f>"9789027298843"</f>
        <v>9789027298843</v>
      </c>
      <c r="E831" s="2">
        <v>622409</v>
      </c>
    </row>
    <row r="832" spans="1:5" x14ac:dyDescent="0.25">
      <c r="A832" s="4">
        <v>41994.905601851853</v>
      </c>
      <c r="B832" s="2" t="s">
        <v>529</v>
      </c>
      <c r="C832" s="2" t="s">
        <v>96</v>
      </c>
      <c r="D832" s="2" t="str">
        <f>"9780807869857"</f>
        <v>9780807869857</v>
      </c>
      <c r="E832" s="2">
        <v>878301</v>
      </c>
    </row>
    <row r="833" spans="1:5" x14ac:dyDescent="0.25">
      <c r="A833" s="4">
        <v>41994.878738425927</v>
      </c>
      <c r="B833" s="2" t="s">
        <v>2216</v>
      </c>
      <c r="C833" s="2" t="s">
        <v>2170</v>
      </c>
      <c r="D833" s="2" t="str">
        <f>"9781848131255"</f>
        <v>9781848131255</v>
      </c>
      <c r="E833" s="2">
        <v>339219</v>
      </c>
    </row>
    <row r="834" spans="1:5" x14ac:dyDescent="0.25">
      <c r="A834" s="4">
        <v>41994.908194444448</v>
      </c>
      <c r="B834" s="2" t="s">
        <v>311</v>
      </c>
      <c r="C834" s="2" t="s">
        <v>26</v>
      </c>
      <c r="D834" s="2" t="str">
        <f>"9780470826287"</f>
        <v>9780470826287</v>
      </c>
      <c r="E834" s="2">
        <v>588960</v>
      </c>
    </row>
    <row r="835" spans="1:5" x14ac:dyDescent="0.25">
      <c r="A835" s="4">
        <v>41912.926354166666</v>
      </c>
      <c r="B835" s="2" t="s">
        <v>3548</v>
      </c>
      <c r="C835" s="2" t="s">
        <v>419</v>
      </c>
      <c r="D835" s="2" t="str">
        <f>"9780470096949"</f>
        <v>9780470096949</v>
      </c>
      <c r="E835" s="2">
        <v>292474</v>
      </c>
    </row>
    <row r="836" spans="1:5" x14ac:dyDescent="0.25">
      <c r="A836" s="4">
        <v>41883.679710648146</v>
      </c>
      <c r="B836" s="2" t="s">
        <v>3548</v>
      </c>
      <c r="C836" s="2" t="s">
        <v>26</v>
      </c>
      <c r="D836" s="2" t="str">
        <f>"9780470411957"</f>
        <v>9780470411957</v>
      </c>
      <c r="E836" s="2">
        <v>706582</v>
      </c>
    </row>
    <row r="837" spans="1:5" x14ac:dyDescent="0.25">
      <c r="A837" s="4">
        <v>41994.901990740742</v>
      </c>
      <c r="B837" s="2" t="s">
        <v>762</v>
      </c>
      <c r="C837" s="2" t="s">
        <v>119</v>
      </c>
      <c r="D837" s="2" t="str">
        <f>"9780520947061"</f>
        <v>9780520947061</v>
      </c>
      <c r="E837" s="2">
        <v>922942</v>
      </c>
    </row>
    <row r="838" spans="1:5" x14ac:dyDescent="0.25">
      <c r="A838" s="4">
        <v>41994.899062500001</v>
      </c>
      <c r="B838" s="2" t="s">
        <v>1351</v>
      </c>
      <c r="C838" s="2" t="s">
        <v>63</v>
      </c>
      <c r="D838" s="2" t="str">
        <f>"9781400836000"</f>
        <v>9781400836000</v>
      </c>
      <c r="E838" s="2">
        <v>590824</v>
      </c>
    </row>
    <row r="839" spans="1:5" x14ac:dyDescent="0.25">
      <c r="A839" s="4">
        <v>41994.908194444448</v>
      </c>
      <c r="B839" s="2" t="s">
        <v>306</v>
      </c>
      <c r="C839" s="2" t="s">
        <v>26</v>
      </c>
      <c r="D839" s="2" t="str">
        <f>"9780470875698"</f>
        <v>9780470875698</v>
      </c>
      <c r="E839" s="2">
        <v>624382</v>
      </c>
    </row>
    <row r="840" spans="1:5" x14ac:dyDescent="0.25">
      <c r="A840" s="4">
        <v>41994.908171296294</v>
      </c>
      <c r="B840" s="2" t="s">
        <v>372</v>
      </c>
      <c r="C840" s="2" t="s">
        <v>26</v>
      </c>
      <c r="D840" s="2" t="str">
        <f>"9780470693360"</f>
        <v>9780470693360</v>
      </c>
      <c r="E840" s="2">
        <v>351045</v>
      </c>
    </row>
    <row r="841" spans="1:5" x14ac:dyDescent="0.25">
      <c r="A841" s="4">
        <v>41994.908171296294</v>
      </c>
      <c r="B841" s="2" t="s">
        <v>364</v>
      </c>
      <c r="C841" s="2" t="s">
        <v>160</v>
      </c>
      <c r="D841" s="2" t="str">
        <f>"9780470393048"</f>
        <v>9780470393048</v>
      </c>
      <c r="E841" s="2">
        <v>353366</v>
      </c>
    </row>
    <row r="842" spans="1:5" x14ac:dyDescent="0.25">
      <c r="A842" s="4">
        <v>41899.459907407407</v>
      </c>
      <c r="B842" s="2" t="s">
        <v>3858</v>
      </c>
      <c r="C842" s="2" t="s">
        <v>7</v>
      </c>
      <c r="D842" s="2" t="str">
        <f>"9781452221069"</f>
        <v>9781452221069</v>
      </c>
      <c r="E842" s="2">
        <v>996441</v>
      </c>
    </row>
    <row r="843" spans="1:5" x14ac:dyDescent="0.25">
      <c r="A843" s="4">
        <v>41994.885034722225</v>
      </c>
      <c r="B843" s="2" t="s">
        <v>2003</v>
      </c>
      <c r="C843" s="2" t="s">
        <v>1934</v>
      </c>
      <c r="D843" s="2" t="str">
        <f>"9780857851369"</f>
        <v>9780857851369</v>
      </c>
      <c r="E843" s="2">
        <v>1334389</v>
      </c>
    </row>
    <row r="844" spans="1:5" x14ac:dyDescent="0.25">
      <c r="A844" s="4">
        <v>41994.889872685184</v>
      </c>
      <c r="B844" s="2" t="s">
        <v>1885</v>
      </c>
      <c r="C844" s="2" t="s">
        <v>72</v>
      </c>
      <c r="D844" s="2" t="str">
        <f>"9780748630233"</f>
        <v>9780748630233</v>
      </c>
      <c r="E844" s="2">
        <v>615830</v>
      </c>
    </row>
    <row r="845" spans="1:5" x14ac:dyDescent="0.25">
      <c r="A845" s="4">
        <v>41974.549675925926</v>
      </c>
      <c r="B845" s="2" t="s">
        <v>2957</v>
      </c>
      <c r="C845" s="2" t="s">
        <v>7</v>
      </c>
      <c r="D845" s="2" t="str">
        <f>"9781452224190"</f>
        <v>9781452224190</v>
      </c>
      <c r="E845" s="2">
        <v>1598330</v>
      </c>
    </row>
    <row r="846" spans="1:5" x14ac:dyDescent="0.25">
      <c r="A846" s="4">
        <v>41974.612233796295</v>
      </c>
      <c r="B846" s="2" t="s">
        <v>2946</v>
      </c>
      <c r="C846" s="2" t="s">
        <v>7</v>
      </c>
      <c r="D846" s="2" t="str">
        <f>"9781847871039"</f>
        <v>9781847871039</v>
      </c>
      <c r="E846" s="2">
        <v>334357</v>
      </c>
    </row>
    <row r="847" spans="1:5" x14ac:dyDescent="0.25">
      <c r="A847" s="4">
        <v>41984.018449074072</v>
      </c>
      <c r="B847" s="2" t="s">
        <v>2377</v>
      </c>
      <c r="C847" s="2" t="s">
        <v>7</v>
      </c>
      <c r="D847" s="2" t="str">
        <f>"9781446258507"</f>
        <v>9781446258507</v>
      </c>
      <c r="E847" s="2">
        <v>880824</v>
      </c>
    </row>
    <row r="848" spans="1:5" x14ac:dyDescent="0.25">
      <c r="A848" s="4">
        <v>41977.837858796294</v>
      </c>
      <c r="B848" s="2" t="s">
        <v>2587</v>
      </c>
      <c r="C848" s="2" t="s">
        <v>7</v>
      </c>
      <c r="D848" s="2" t="str">
        <f>"9781848607378"</f>
        <v>9781848607378</v>
      </c>
      <c r="E848" s="2">
        <v>370496</v>
      </c>
    </row>
    <row r="849" spans="1:5" x14ac:dyDescent="0.25">
      <c r="A849" s="4">
        <v>41994.899131944447</v>
      </c>
      <c r="B849" s="2" t="s">
        <v>1119</v>
      </c>
      <c r="C849" s="2" t="s">
        <v>63</v>
      </c>
      <c r="D849" s="2" t="str">
        <f>"9781400849895"</f>
        <v>9781400849895</v>
      </c>
      <c r="E849" s="2">
        <v>1501771</v>
      </c>
    </row>
    <row r="850" spans="1:5" x14ac:dyDescent="0.25">
      <c r="A850" s="4">
        <v>41994.902013888888</v>
      </c>
      <c r="B850" s="2" t="s">
        <v>676</v>
      </c>
      <c r="C850" s="2" t="s">
        <v>119</v>
      </c>
      <c r="D850" s="2" t="str">
        <f>"9780520956957"</f>
        <v>9780520956957</v>
      </c>
      <c r="E850" s="2">
        <v>1597002</v>
      </c>
    </row>
    <row r="851" spans="1:5" x14ac:dyDescent="0.25">
      <c r="A851" s="4">
        <v>41994.885034722225</v>
      </c>
      <c r="B851" s="2" t="s">
        <v>1998</v>
      </c>
      <c r="C851" s="2" t="s">
        <v>1934</v>
      </c>
      <c r="D851" s="2" t="str">
        <f>"9781408185407"</f>
        <v>9781408185407</v>
      </c>
      <c r="E851" s="2">
        <v>1352427</v>
      </c>
    </row>
    <row r="852" spans="1:5" x14ac:dyDescent="0.25">
      <c r="A852" s="4">
        <v>41917.514317129629</v>
      </c>
      <c r="B852" s="2" t="s">
        <v>3463</v>
      </c>
      <c r="C852" s="2" t="s">
        <v>16</v>
      </c>
      <c r="D852" s="2" t="str">
        <f>"9781462515240"</f>
        <v>9781462515240</v>
      </c>
      <c r="E852" s="2">
        <v>1655939</v>
      </c>
    </row>
    <row r="853" spans="1:5" x14ac:dyDescent="0.25">
      <c r="A853" s="4">
        <v>41994.901979166665</v>
      </c>
      <c r="B853" s="2" t="s">
        <v>781</v>
      </c>
      <c r="C853" s="2" t="s">
        <v>119</v>
      </c>
      <c r="D853" s="2" t="str">
        <f>"9780520952249"</f>
        <v>9780520952249</v>
      </c>
      <c r="E853" s="2">
        <v>882615</v>
      </c>
    </row>
    <row r="854" spans="1:5" x14ac:dyDescent="0.25">
      <c r="A854" s="4">
        <v>41994.902013888888</v>
      </c>
      <c r="B854" s="2" t="s">
        <v>663</v>
      </c>
      <c r="C854" s="2" t="s">
        <v>119</v>
      </c>
      <c r="D854" s="2" t="str">
        <f>"9780520958456"</f>
        <v>9780520958456</v>
      </c>
      <c r="E854" s="2">
        <v>1674237</v>
      </c>
    </row>
    <row r="855" spans="1:5" x14ac:dyDescent="0.25">
      <c r="A855" s="4">
        <v>41905.831111111111</v>
      </c>
      <c r="B855" s="2" t="s">
        <v>3727</v>
      </c>
      <c r="C855" s="2" t="s">
        <v>160</v>
      </c>
      <c r="D855" s="2" t="str">
        <f>"9780470693346"</f>
        <v>9780470693346</v>
      </c>
      <c r="E855" s="2">
        <v>351048</v>
      </c>
    </row>
    <row r="856" spans="1:5" x14ac:dyDescent="0.25">
      <c r="A856" s="4">
        <v>41994.90824074074</v>
      </c>
      <c r="B856" s="2" t="s">
        <v>164</v>
      </c>
      <c r="C856" s="2" t="s">
        <v>26</v>
      </c>
      <c r="D856" s="2" t="str">
        <f>"9781119954453"</f>
        <v>9781119954453</v>
      </c>
      <c r="E856" s="2">
        <v>822575</v>
      </c>
    </row>
    <row r="857" spans="1:5" x14ac:dyDescent="0.25">
      <c r="A857" s="4">
        <v>41994.885011574072</v>
      </c>
      <c r="B857" s="2" t="s">
        <v>2060</v>
      </c>
      <c r="C857" s="2" t="s">
        <v>74</v>
      </c>
      <c r="D857" s="2" t="str">
        <f>"9781441118202"</f>
        <v>9781441118202</v>
      </c>
      <c r="E857" s="2">
        <v>894569</v>
      </c>
    </row>
    <row r="858" spans="1:5" x14ac:dyDescent="0.25">
      <c r="A858" s="4">
        <v>41975.580960648149</v>
      </c>
      <c r="B858" s="2" t="s">
        <v>2826</v>
      </c>
      <c r="C858" s="2" t="s">
        <v>119</v>
      </c>
      <c r="D858" s="2" t="str">
        <f>"9780520947870"</f>
        <v>9780520947870</v>
      </c>
      <c r="E858" s="2">
        <v>579795</v>
      </c>
    </row>
    <row r="859" spans="1:5" x14ac:dyDescent="0.25">
      <c r="A859" s="4">
        <v>41994.892939814818</v>
      </c>
      <c r="B859" s="2" t="s">
        <v>1663</v>
      </c>
      <c r="C859" s="2" t="s">
        <v>16</v>
      </c>
      <c r="D859" s="2" t="str">
        <f>"9781462509249"</f>
        <v>9781462509249</v>
      </c>
      <c r="E859" s="2">
        <v>1112335</v>
      </c>
    </row>
    <row r="860" spans="1:5" x14ac:dyDescent="0.25">
      <c r="A860" s="4">
        <v>41984.742696759262</v>
      </c>
      <c r="B860" s="2" t="s">
        <v>2352</v>
      </c>
      <c r="C860" s="2" t="s">
        <v>7</v>
      </c>
      <c r="D860" s="2" t="str">
        <f>"9788132101345"</f>
        <v>9788132101345</v>
      </c>
      <c r="E860" s="2">
        <v>420829</v>
      </c>
    </row>
    <row r="861" spans="1:5" x14ac:dyDescent="0.25">
      <c r="A861" s="4">
        <v>41994.901990740742</v>
      </c>
      <c r="B861" s="2" t="s">
        <v>744</v>
      </c>
      <c r="C861" s="2" t="s">
        <v>119</v>
      </c>
      <c r="D861" s="2" t="str">
        <f>"9780520953512"</f>
        <v>9780520953512</v>
      </c>
      <c r="E861" s="2">
        <v>1021173</v>
      </c>
    </row>
    <row r="862" spans="1:5" x14ac:dyDescent="0.25">
      <c r="A862" s="4">
        <v>41909.54142361111</v>
      </c>
      <c r="B862" s="2" t="s">
        <v>3630</v>
      </c>
      <c r="C862" s="2" t="s">
        <v>1934</v>
      </c>
      <c r="D862" s="2" t="str">
        <f>"9781441101679"</f>
        <v>9781441101679</v>
      </c>
      <c r="E862" s="2">
        <v>601751</v>
      </c>
    </row>
    <row r="863" spans="1:5" x14ac:dyDescent="0.25">
      <c r="A863" s="4">
        <v>41994.901990740742</v>
      </c>
      <c r="B863" s="2" t="s">
        <v>761</v>
      </c>
      <c r="C863" s="2" t="s">
        <v>119</v>
      </c>
      <c r="D863" s="2" t="str">
        <f>"9780520945005"</f>
        <v>9780520945005</v>
      </c>
      <c r="E863" s="2">
        <v>923469</v>
      </c>
    </row>
    <row r="864" spans="1:5" x14ac:dyDescent="0.25">
      <c r="A864" s="4">
        <v>41994.90824074074</v>
      </c>
      <c r="B864" s="2" t="s">
        <v>188</v>
      </c>
      <c r="C864" s="2" t="s">
        <v>160</v>
      </c>
      <c r="D864" s="2" t="str">
        <f>"9781118112403"</f>
        <v>9781118112403</v>
      </c>
      <c r="E864" s="2">
        <v>818755</v>
      </c>
    </row>
    <row r="865" spans="1:5" x14ac:dyDescent="0.25">
      <c r="A865" s="4">
        <v>41994.892916666664</v>
      </c>
      <c r="B865" s="2" t="s">
        <v>1719</v>
      </c>
      <c r="C865" s="2" t="s">
        <v>16</v>
      </c>
      <c r="D865" s="2" t="str">
        <f>"9781609187576"</f>
        <v>9781609187576</v>
      </c>
      <c r="E865" s="2">
        <v>684289</v>
      </c>
    </row>
    <row r="866" spans="1:5" x14ac:dyDescent="0.25">
      <c r="A866" s="4">
        <v>41934.83148148148</v>
      </c>
      <c r="B866" s="2" t="s">
        <v>3050</v>
      </c>
      <c r="C866" s="2" t="s">
        <v>2170</v>
      </c>
      <c r="D866" s="2" t="str">
        <f>"9781848133419"</f>
        <v>9781848133419</v>
      </c>
      <c r="E866" s="2">
        <v>368679</v>
      </c>
    </row>
    <row r="867" spans="1:5" x14ac:dyDescent="0.25">
      <c r="A867" s="4">
        <v>41994.901944444442</v>
      </c>
      <c r="B867" s="2" t="s">
        <v>884</v>
      </c>
      <c r="C867" s="2" t="s">
        <v>119</v>
      </c>
      <c r="D867" s="2" t="str">
        <f>"9780520948259"</f>
        <v>9780520948259</v>
      </c>
      <c r="E867" s="2">
        <v>656361</v>
      </c>
    </row>
    <row r="868" spans="1:5" x14ac:dyDescent="0.25">
      <c r="A868" s="4">
        <v>41994.885034722225</v>
      </c>
      <c r="B868" s="2" t="s">
        <v>2012</v>
      </c>
      <c r="C868" s="2" t="s">
        <v>74</v>
      </c>
      <c r="D868" s="2" t="str">
        <f>"9781623564216"</f>
        <v>9781623564216</v>
      </c>
      <c r="E868" s="2">
        <v>1224266</v>
      </c>
    </row>
    <row r="869" spans="1:5" x14ac:dyDescent="0.25">
      <c r="A869" s="4">
        <v>41994.901932870373</v>
      </c>
      <c r="B869" s="2" t="s">
        <v>937</v>
      </c>
      <c r="C869" s="2" t="s">
        <v>119</v>
      </c>
      <c r="D869" s="2" t="str">
        <f>"9780520944459"</f>
        <v>9780520944459</v>
      </c>
      <c r="E869" s="2">
        <v>470987</v>
      </c>
    </row>
    <row r="870" spans="1:5" x14ac:dyDescent="0.25">
      <c r="A870" s="4">
        <v>41994.908206018517</v>
      </c>
      <c r="B870" s="2" t="s">
        <v>283</v>
      </c>
      <c r="C870" s="2" t="s">
        <v>160</v>
      </c>
      <c r="D870" s="2" t="str">
        <f>"9781444392500"</f>
        <v>9781444392500</v>
      </c>
      <c r="E870" s="2">
        <v>661741</v>
      </c>
    </row>
    <row r="871" spans="1:5" x14ac:dyDescent="0.25">
      <c r="A871" s="4">
        <v>41918.278368055559</v>
      </c>
      <c r="B871" s="2" t="s">
        <v>3446</v>
      </c>
      <c r="C871" s="2" t="s">
        <v>160</v>
      </c>
      <c r="D871" s="2" t="str">
        <f>"9781118211397"</f>
        <v>9781118211397</v>
      </c>
      <c r="E871" s="2">
        <v>698876</v>
      </c>
    </row>
    <row r="872" spans="1:5" x14ac:dyDescent="0.25">
      <c r="A872" s="4">
        <v>41877.537465277775</v>
      </c>
      <c r="B872" s="2" t="s">
        <v>3446</v>
      </c>
      <c r="C872" s="2" t="s">
        <v>160</v>
      </c>
      <c r="D872" s="2" t="str">
        <f>"9781118211397"</f>
        <v>9781118211397</v>
      </c>
      <c r="E872" s="2">
        <v>698876</v>
      </c>
    </row>
    <row r="873" spans="1:5" x14ac:dyDescent="0.25">
      <c r="A873" s="4">
        <v>41876.522361111114</v>
      </c>
      <c r="B873" s="2" t="s">
        <v>3939</v>
      </c>
      <c r="C873" s="2" t="s">
        <v>26</v>
      </c>
      <c r="D873" s="2" t="str">
        <f>"9781118087503"</f>
        <v>9781118087503</v>
      </c>
      <c r="E873" s="2">
        <v>706770</v>
      </c>
    </row>
    <row r="874" spans="1:5" x14ac:dyDescent="0.25">
      <c r="A874" s="4">
        <v>41904.48578703704</v>
      </c>
      <c r="B874" s="2" t="s">
        <v>3779</v>
      </c>
      <c r="C874" s="2" t="s">
        <v>26</v>
      </c>
      <c r="D874" s="2" t="str">
        <f>"9780470595688"</f>
        <v>9780470595688</v>
      </c>
      <c r="E874" s="2">
        <v>485632</v>
      </c>
    </row>
    <row r="875" spans="1:5" x14ac:dyDescent="0.25">
      <c r="A875" s="4">
        <v>43146.50408564815</v>
      </c>
      <c r="B875" s="2" t="s">
        <v>93</v>
      </c>
      <c r="C875" s="2" t="s">
        <v>26</v>
      </c>
      <c r="D875" s="2" t="str">
        <f>"9781118460955"</f>
        <v>9781118460955</v>
      </c>
      <c r="E875" s="2">
        <v>1580016</v>
      </c>
    </row>
    <row r="876" spans="1:5" x14ac:dyDescent="0.25">
      <c r="A876" s="4">
        <v>41988.544525462959</v>
      </c>
      <c r="B876" s="2" t="s">
        <v>2284</v>
      </c>
      <c r="C876" s="2" t="s">
        <v>74</v>
      </c>
      <c r="D876" s="2" t="str">
        <f>"9781441182180"</f>
        <v>9781441182180</v>
      </c>
      <c r="E876" s="2">
        <v>918758</v>
      </c>
    </row>
    <row r="877" spans="1:5" x14ac:dyDescent="0.25">
      <c r="A877" s="4">
        <v>41994.902002314811</v>
      </c>
      <c r="B877" s="2" t="s">
        <v>718</v>
      </c>
      <c r="C877" s="2" t="s">
        <v>119</v>
      </c>
      <c r="D877" s="2" t="str">
        <f>"9780520955165"</f>
        <v>9780520955165</v>
      </c>
      <c r="E877" s="2">
        <v>1132523</v>
      </c>
    </row>
    <row r="878" spans="1:5" x14ac:dyDescent="0.25">
      <c r="A878" s="4">
        <v>41994.905601851853</v>
      </c>
      <c r="B878" s="2" t="s">
        <v>543</v>
      </c>
      <c r="C878" s="2" t="s">
        <v>96</v>
      </c>
      <c r="D878" s="2" t="str">
        <f>"9780807869932"</f>
        <v>9780807869932</v>
      </c>
      <c r="E878" s="2">
        <v>837884</v>
      </c>
    </row>
    <row r="879" spans="1:5" x14ac:dyDescent="0.25">
      <c r="A879" s="4">
        <v>41994.896168981482</v>
      </c>
      <c r="B879" s="2" t="s">
        <v>1458</v>
      </c>
      <c r="C879" s="2" t="s">
        <v>28</v>
      </c>
      <c r="D879" s="2" t="str">
        <f>"9780253011084"</f>
        <v>9780253011084</v>
      </c>
      <c r="E879" s="2">
        <v>1566361</v>
      </c>
    </row>
    <row r="880" spans="1:5" x14ac:dyDescent="0.25">
      <c r="A880" s="4">
        <v>41994.905578703707</v>
      </c>
      <c r="B880" s="2" t="s">
        <v>599</v>
      </c>
      <c r="C880" s="2" t="s">
        <v>96</v>
      </c>
      <c r="D880" s="2" t="str">
        <f>"9780807898611"</f>
        <v>9780807898611</v>
      </c>
      <c r="E880" s="2">
        <v>475194</v>
      </c>
    </row>
    <row r="881" spans="1:5" x14ac:dyDescent="0.25">
      <c r="A881" s="4">
        <v>41979.867291666669</v>
      </c>
      <c r="B881" s="2" t="s">
        <v>2527</v>
      </c>
      <c r="C881" s="2" t="s">
        <v>26</v>
      </c>
      <c r="D881" s="2" t="str">
        <f>"9781405137508"</f>
        <v>9781405137508</v>
      </c>
      <c r="E881" s="2">
        <v>228549</v>
      </c>
    </row>
    <row r="882" spans="1:5" x14ac:dyDescent="0.25">
      <c r="A882" s="4">
        <v>41994.889872685184</v>
      </c>
      <c r="B882" s="2" t="s">
        <v>1895</v>
      </c>
      <c r="C882" s="2" t="s">
        <v>72</v>
      </c>
      <c r="D882" s="2" t="str">
        <f>"9780748641710"</f>
        <v>9780748641710</v>
      </c>
      <c r="E882" s="2">
        <v>564510</v>
      </c>
    </row>
    <row r="883" spans="1:5" x14ac:dyDescent="0.25">
      <c r="A883" s="4">
        <v>41913.411238425928</v>
      </c>
      <c r="B883" s="2" t="s">
        <v>3542</v>
      </c>
      <c r="C883" s="2" t="s">
        <v>63</v>
      </c>
      <c r="D883" s="2" t="str">
        <f>"9781400838400"</f>
        <v>9781400838400</v>
      </c>
      <c r="E883" s="2">
        <v>664586</v>
      </c>
    </row>
    <row r="884" spans="1:5" x14ac:dyDescent="0.25">
      <c r="A884" s="4">
        <v>43144.360567129632</v>
      </c>
      <c r="B884" s="2" t="s">
        <v>101</v>
      </c>
      <c r="C884" s="2" t="s">
        <v>36</v>
      </c>
      <c r="D884" s="2" t="str">
        <f>"9781476628486"</f>
        <v>9781476628486</v>
      </c>
      <c r="E884" s="2">
        <v>4850705</v>
      </c>
    </row>
    <row r="885" spans="1:5" x14ac:dyDescent="0.25">
      <c r="A885" s="4">
        <v>41994.901990740742</v>
      </c>
      <c r="B885" s="2" t="s">
        <v>728</v>
      </c>
      <c r="C885" s="2" t="s">
        <v>119</v>
      </c>
      <c r="D885" s="2" t="str">
        <f>"9780520954960"</f>
        <v>9780520954960</v>
      </c>
      <c r="E885" s="2">
        <v>1110769</v>
      </c>
    </row>
    <row r="886" spans="1:5" x14ac:dyDescent="0.25">
      <c r="A886" s="4">
        <v>42162.991736111115</v>
      </c>
      <c r="B886" s="2" t="s">
        <v>2231</v>
      </c>
      <c r="C886" s="2" t="s">
        <v>2170</v>
      </c>
      <c r="D886" s="2" t="str">
        <f>"9781848139534"</f>
        <v>9781848139534</v>
      </c>
      <c r="E886" s="2">
        <v>1426837</v>
      </c>
    </row>
    <row r="887" spans="1:5" x14ac:dyDescent="0.25">
      <c r="A887" s="4">
        <v>41878.614618055559</v>
      </c>
      <c r="B887" s="2" t="s">
        <v>2231</v>
      </c>
      <c r="C887" s="2" t="s">
        <v>2170</v>
      </c>
      <c r="D887" s="2" t="str">
        <f>"9781848139534"</f>
        <v>9781848139534</v>
      </c>
      <c r="E887" s="2">
        <v>1426837</v>
      </c>
    </row>
    <row r="888" spans="1:5" x14ac:dyDescent="0.25">
      <c r="A888" s="4">
        <v>41983.929201388892</v>
      </c>
      <c r="B888" s="2" t="s">
        <v>2382</v>
      </c>
      <c r="C888" s="2" t="s">
        <v>96</v>
      </c>
      <c r="D888" s="2" t="str">
        <f>"9780807837528"</f>
        <v>9780807837528</v>
      </c>
      <c r="E888" s="2">
        <v>1076066</v>
      </c>
    </row>
    <row r="889" spans="1:5" x14ac:dyDescent="0.25">
      <c r="A889" s="4">
        <v>41994.884976851848</v>
      </c>
      <c r="B889" s="2" t="s">
        <v>2152</v>
      </c>
      <c r="C889" s="2" t="s">
        <v>1934</v>
      </c>
      <c r="D889" s="2" t="str">
        <f>"9781441114716"</f>
        <v>9781441114716</v>
      </c>
      <c r="E889" s="2">
        <v>436969</v>
      </c>
    </row>
    <row r="890" spans="1:5" x14ac:dyDescent="0.25">
      <c r="A890" s="4">
        <v>41994.901967592596</v>
      </c>
      <c r="B890" s="2" t="s">
        <v>839</v>
      </c>
      <c r="C890" s="2" t="s">
        <v>119</v>
      </c>
      <c r="D890" s="2" t="str">
        <f>"9780520950511"</f>
        <v>9780520950511</v>
      </c>
      <c r="E890" s="2">
        <v>784542</v>
      </c>
    </row>
    <row r="891" spans="1:5" x14ac:dyDescent="0.25">
      <c r="A891" s="4">
        <v>41994.896134259259</v>
      </c>
      <c r="B891" s="2" t="s">
        <v>1535</v>
      </c>
      <c r="C891" s="2" t="s">
        <v>28</v>
      </c>
      <c r="D891" s="2" t="str">
        <f>"9780253001702"</f>
        <v>9780253001702</v>
      </c>
      <c r="E891" s="2">
        <v>713701</v>
      </c>
    </row>
    <row r="892" spans="1:5" x14ac:dyDescent="0.25">
      <c r="A892" s="4">
        <v>41994.889930555553</v>
      </c>
      <c r="B892" s="2" t="s">
        <v>1809</v>
      </c>
      <c r="C892" s="2" t="s">
        <v>72</v>
      </c>
      <c r="D892" s="2" t="str">
        <f>"9780748680115"</f>
        <v>9780748680115</v>
      </c>
      <c r="E892" s="2">
        <v>1698585</v>
      </c>
    </row>
    <row r="893" spans="1:5" x14ac:dyDescent="0.25">
      <c r="A893" s="4">
        <v>41994.899155092593</v>
      </c>
      <c r="B893" s="2" t="s">
        <v>1066</v>
      </c>
      <c r="C893" s="2" t="s">
        <v>63</v>
      </c>
      <c r="D893" s="2" t="str">
        <f>"9781400852659"</f>
        <v>9781400852659</v>
      </c>
      <c r="E893" s="2">
        <v>1694933</v>
      </c>
    </row>
    <row r="894" spans="1:5" x14ac:dyDescent="0.25">
      <c r="A894" s="4">
        <v>41994.899085648147</v>
      </c>
      <c r="B894" s="2" t="s">
        <v>1306</v>
      </c>
      <c r="C894" s="2" t="s">
        <v>63</v>
      </c>
      <c r="D894" s="2" t="str">
        <f>"9781400838455"</f>
        <v>9781400838455</v>
      </c>
      <c r="E894" s="2">
        <v>686418</v>
      </c>
    </row>
    <row r="895" spans="1:5" x14ac:dyDescent="0.25">
      <c r="A895" s="4">
        <v>41925.703750000001</v>
      </c>
      <c r="B895" s="2" t="s">
        <v>3272</v>
      </c>
      <c r="C895" s="2" t="s">
        <v>72</v>
      </c>
      <c r="D895" s="2" t="str">
        <f>"9780748642403"</f>
        <v>9780748642403</v>
      </c>
      <c r="E895" s="2">
        <v>564499</v>
      </c>
    </row>
    <row r="896" spans="1:5" x14ac:dyDescent="0.25">
      <c r="A896" s="4">
        <v>41994.889907407407</v>
      </c>
      <c r="B896" s="2" t="s">
        <v>1854</v>
      </c>
      <c r="C896" s="2" t="s">
        <v>72</v>
      </c>
      <c r="D896" s="2" t="str">
        <f>"9780748647460"</f>
        <v>9780748647460</v>
      </c>
      <c r="E896" s="2">
        <v>932464</v>
      </c>
    </row>
    <row r="897" spans="1:5" x14ac:dyDescent="0.25">
      <c r="A897" s="4">
        <v>41899.436273148145</v>
      </c>
      <c r="B897" s="2" t="s">
        <v>3859</v>
      </c>
      <c r="C897" s="2" t="s">
        <v>18</v>
      </c>
      <c r="D897" s="2" t="str">
        <f>"9781441162502"</f>
        <v>9781441162502</v>
      </c>
      <c r="E897" s="2">
        <v>1363754</v>
      </c>
    </row>
    <row r="898" spans="1:5" x14ac:dyDescent="0.25">
      <c r="A898" s="4">
        <v>41994.889849537038</v>
      </c>
      <c r="B898" s="2" t="s">
        <v>1920</v>
      </c>
      <c r="C898" s="2" t="s">
        <v>72</v>
      </c>
      <c r="D898" s="2" t="str">
        <f>"9780748631582"</f>
        <v>9780748631582</v>
      </c>
      <c r="E898" s="2">
        <v>343579</v>
      </c>
    </row>
    <row r="899" spans="1:5" x14ac:dyDescent="0.25">
      <c r="A899" s="4">
        <v>41994.889861111114</v>
      </c>
      <c r="B899" s="2" t="s">
        <v>1915</v>
      </c>
      <c r="C899" s="2" t="s">
        <v>72</v>
      </c>
      <c r="D899" s="2" t="str">
        <f>"9780748634064"</f>
        <v>9780748634064</v>
      </c>
      <c r="E899" s="2">
        <v>420673</v>
      </c>
    </row>
    <row r="900" spans="1:5" x14ac:dyDescent="0.25">
      <c r="A900" s="4">
        <v>41994.889918981484</v>
      </c>
      <c r="B900" s="2" t="s">
        <v>1836</v>
      </c>
      <c r="C900" s="2" t="s">
        <v>72</v>
      </c>
      <c r="D900" s="2" t="str">
        <f>"9780748669608"</f>
        <v>9780748669608</v>
      </c>
      <c r="E900" s="2">
        <v>1126585</v>
      </c>
    </row>
    <row r="901" spans="1:5" x14ac:dyDescent="0.25">
      <c r="A901" s="4">
        <v>41994.889930555553</v>
      </c>
      <c r="B901" s="2" t="s">
        <v>1826</v>
      </c>
      <c r="C901" s="2" t="s">
        <v>72</v>
      </c>
      <c r="D901" s="2" t="str">
        <f>"9780748644124"</f>
        <v>9780748644124</v>
      </c>
      <c r="E901" s="2">
        <v>1168196</v>
      </c>
    </row>
    <row r="902" spans="1:5" x14ac:dyDescent="0.25">
      <c r="A902" s="4">
        <v>41982.957094907404</v>
      </c>
      <c r="B902" s="2" t="s">
        <v>2420</v>
      </c>
      <c r="C902" s="2" t="s">
        <v>72</v>
      </c>
      <c r="D902" s="2" t="str">
        <f>"9780748645978"</f>
        <v>9780748645978</v>
      </c>
      <c r="E902" s="2">
        <v>714132</v>
      </c>
    </row>
    <row r="903" spans="1:5" x14ac:dyDescent="0.25">
      <c r="A903" s="4">
        <v>41983.888842592591</v>
      </c>
      <c r="B903" s="2" t="s">
        <v>2386</v>
      </c>
      <c r="C903" s="2" t="s">
        <v>72</v>
      </c>
      <c r="D903" s="2" t="str">
        <f>"9780748635269"</f>
        <v>9780748635269</v>
      </c>
      <c r="E903" s="2">
        <v>364830</v>
      </c>
    </row>
    <row r="904" spans="1:5" x14ac:dyDescent="0.25">
      <c r="A904" s="4">
        <v>41994.885023148148</v>
      </c>
      <c r="B904" s="2" t="s">
        <v>2052</v>
      </c>
      <c r="C904" s="2" t="s">
        <v>18</v>
      </c>
      <c r="D904" s="2" t="str">
        <f>"9781441178725"</f>
        <v>9781441178725</v>
      </c>
      <c r="E904" s="2">
        <v>943637</v>
      </c>
    </row>
    <row r="905" spans="1:5" x14ac:dyDescent="0.25">
      <c r="A905" s="4">
        <v>41921.951874999999</v>
      </c>
      <c r="B905" s="2" t="s">
        <v>3327</v>
      </c>
      <c r="C905" s="2" t="s">
        <v>72</v>
      </c>
      <c r="D905" s="2" t="str">
        <f>"9780748637010"</f>
        <v>9780748637010</v>
      </c>
      <c r="E905" s="2">
        <v>564500</v>
      </c>
    </row>
    <row r="906" spans="1:5" x14ac:dyDescent="0.25">
      <c r="A906" s="4">
        <v>41994.884976851848</v>
      </c>
      <c r="B906" s="2" t="s">
        <v>2158</v>
      </c>
      <c r="C906" s="2" t="s">
        <v>18</v>
      </c>
      <c r="D906" s="2" t="str">
        <f>"9781441124319"</f>
        <v>9781441124319</v>
      </c>
      <c r="E906" s="2">
        <v>436333</v>
      </c>
    </row>
    <row r="907" spans="1:5" x14ac:dyDescent="0.25">
      <c r="A907" s="4">
        <v>41994.889918981484</v>
      </c>
      <c r="B907" s="2" t="s">
        <v>1843</v>
      </c>
      <c r="C907" s="2" t="s">
        <v>72</v>
      </c>
      <c r="D907" s="2" t="str">
        <f>"9780748645633"</f>
        <v>9780748645633</v>
      </c>
      <c r="E907" s="2">
        <v>1069072</v>
      </c>
    </row>
    <row r="908" spans="1:5" x14ac:dyDescent="0.25">
      <c r="A908" s="4">
        <v>41994.889930555553</v>
      </c>
      <c r="B908" s="2" t="s">
        <v>1819</v>
      </c>
      <c r="C908" s="2" t="s">
        <v>72</v>
      </c>
      <c r="D908" s="2" t="str">
        <f>"9780748669677"</f>
        <v>9780748669677</v>
      </c>
      <c r="E908" s="2">
        <v>1173635</v>
      </c>
    </row>
    <row r="909" spans="1:5" x14ac:dyDescent="0.25">
      <c r="A909" s="4">
        <v>41994.889918981484</v>
      </c>
      <c r="B909" s="2" t="s">
        <v>1850</v>
      </c>
      <c r="C909" s="2" t="s">
        <v>72</v>
      </c>
      <c r="D909" s="2" t="str">
        <f>"9780748650569"</f>
        <v>9780748650569</v>
      </c>
      <c r="E909" s="2">
        <v>951318</v>
      </c>
    </row>
    <row r="910" spans="1:5" x14ac:dyDescent="0.25">
      <c r="A910" s="4">
        <v>41994.889872685184</v>
      </c>
      <c r="B910" s="2" t="s">
        <v>1889</v>
      </c>
      <c r="C910" s="2" t="s">
        <v>72</v>
      </c>
      <c r="D910" s="2" t="str">
        <f>"9780748641758"</f>
        <v>9780748641758</v>
      </c>
      <c r="E910" s="2">
        <v>581387</v>
      </c>
    </row>
    <row r="911" spans="1:5" x14ac:dyDescent="0.25">
      <c r="A911" s="4">
        <v>41994.905601851853</v>
      </c>
      <c r="B911" s="2" t="s">
        <v>517</v>
      </c>
      <c r="C911" s="2" t="s">
        <v>424</v>
      </c>
      <c r="D911" s="2" t="str">
        <f>"9780807863671"</f>
        <v>9780807863671</v>
      </c>
      <c r="E911" s="2">
        <v>880328</v>
      </c>
    </row>
    <row r="912" spans="1:5" x14ac:dyDescent="0.25">
      <c r="A912" s="4">
        <v>41920.789490740739</v>
      </c>
      <c r="B912" s="2" t="s">
        <v>3357</v>
      </c>
      <c r="C912" s="2" t="s">
        <v>7</v>
      </c>
      <c r="D912" s="2" t="str">
        <f>"9781452250397"</f>
        <v>9781452250397</v>
      </c>
      <c r="E912" s="2">
        <v>1598455</v>
      </c>
    </row>
    <row r="913" spans="1:5" x14ac:dyDescent="0.25">
      <c r="A913" s="4">
        <v>41978.959826388891</v>
      </c>
      <c r="B913" s="2" t="s">
        <v>2550</v>
      </c>
      <c r="C913" s="2" t="s">
        <v>63</v>
      </c>
      <c r="D913" s="2" t="str">
        <f>"9781400851324"</f>
        <v>9781400851324</v>
      </c>
      <c r="E913" s="2">
        <v>1609166</v>
      </c>
    </row>
    <row r="914" spans="1:5" x14ac:dyDescent="0.25">
      <c r="A914" s="4">
        <v>41985.382407407407</v>
      </c>
      <c r="B914" s="2" t="s">
        <v>2341</v>
      </c>
      <c r="C914" s="2" t="s">
        <v>63</v>
      </c>
      <c r="D914" s="2" t="str">
        <f>"9781400824458"</f>
        <v>9781400824458</v>
      </c>
      <c r="E914" s="2">
        <v>713598</v>
      </c>
    </row>
    <row r="915" spans="1:5" x14ac:dyDescent="0.25">
      <c r="A915" s="4">
        <v>41994.899050925924</v>
      </c>
      <c r="B915" s="2" t="s">
        <v>1409</v>
      </c>
      <c r="C915" s="2" t="s">
        <v>63</v>
      </c>
      <c r="D915" s="2" t="str">
        <f>"9781400828807"</f>
        <v>9781400828807</v>
      </c>
      <c r="E915" s="2">
        <v>457871</v>
      </c>
    </row>
    <row r="916" spans="1:5" x14ac:dyDescent="0.25">
      <c r="A916" s="4">
        <v>41994.889884259261</v>
      </c>
      <c r="B916" s="2" t="s">
        <v>1868</v>
      </c>
      <c r="C916" s="2" t="s">
        <v>72</v>
      </c>
      <c r="D916" s="2" t="str">
        <f>"9780748645985"</f>
        <v>9780748645985</v>
      </c>
      <c r="E916" s="2">
        <v>714147</v>
      </c>
    </row>
    <row r="917" spans="1:5" x14ac:dyDescent="0.25">
      <c r="A917" s="4">
        <v>41978.796087962961</v>
      </c>
      <c r="B917" s="2" t="s">
        <v>2554</v>
      </c>
      <c r="C917" s="2" t="s">
        <v>63</v>
      </c>
      <c r="D917" s="2" t="str">
        <f>"9781400825868"</f>
        <v>9781400825868</v>
      </c>
      <c r="E917" s="2">
        <v>445424</v>
      </c>
    </row>
    <row r="918" spans="1:5" x14ac:dyDescent="0.25">
      <c r="A918" s="4">
        <v>41918.626145833332</v>
      </c>
      <c r="B918" s="2" t="s">
        <v>3425</v>
      </c>
      <c r="C918" s="2" t="s">
        <v>63</v>
      </c>
      <c r="D918" s="2" t="str">
        <f>"9781400822911"</f>
        <v>9781400822911</v>
      </c>
      <c r="E918" s="2">
        <v>581599</v>
      </c>
    </row>
    <row r="919" spans="1:5" x14ac:dyDescent="0.25">
      <c r="A919" s="4">
        <v>41994.901944444442</v>
      </c>
      <c r="B919" s="2" t="s">
        <v>917</v>
      </c>
      <c r="C919" s="2" t="s">
        <v>119</v>
      </c>
      <c r="D919" s="2" t="str">
        <f>"9780520947917"</f>
        <v>9780520947917</v>
      </c>
      <c r="E919" s="2">
        <v>566754</v>
      </c>
    </row>
    <row r="920" spans="1:5" x14ac:dyDescent="0.25">
      <c r="A920" s="4">
        <v>41994.899108796293</v>
      </c>
      <c r="B920" s="2" t="s">
        <v>1205</v>
      </c>
      <c r="C920" s="2" t="s">
        <v>63</v>
      </c>
      <c r="D920" s="2" t="str">
        <f>"9781400845538"</f>
        <v>9781400845538</v>
      </c>
      <c r="E920" s="2">
        <v>1042916</v>
      </c>
    </row>
    <row r="921" spans="1:5" x14ac:dyDescent="0.25">
      <c r="A921" s="4">
        <v>41978.509097222224</v>
      </c>
      <c r="B921" s="2" t="s">
        <v>2574</v>
      </c>
      <c r="C921" s="2" t="s">
        <v>74</v>
      </c>
      <c r="D921" s="2" t="str">
        <f>"9781441150486"</f>
        <v>9781441150486</v>
      </c>
      <c r="E921" s="2">
        <v>1164368</v>
      </c>
    </row>
    <row r="922" spans="1:5" x14ac:dyDescent="0.25">
      <c r="A922" s="4">
        <v>41994.899074074077</v>
      </c>
      <c r="B922" s="2" t="s">
        <v>1328</v>
      </c>
      <c r="C922" s="2" t="s">
        <v>63</v>
      </c>
      <c r="D922" s="2" t="str">
        <f>"9781400837748"</f>
        <v>9781400837748</v>
      </c>
      <c r="E922" s="2">
        <v>664567</v>
      </c>
    </row>
    <row r="923" spans="1:5" x14ac:dyDescent="0.25">
      <c r="A923" s="4">
        <v>41994.885011574072</v>
      </c>
      <c r="B923" s="2" t="s">
        <v>2073</v>
      </c>
      <c r="C923" s="2" t="s">
        <v>74</v>
      </c>
      <c r="D923" s="2" t="str">
        <f>"9781441150462"</f>
        <v>9781441150462</v>
      </c>
      <c r="E923" s="2">
        <v>793280</v>
      </c>
    </row>
    <row r="924" spans="1:5" x14ac:dyDescent="0.25">
      <c r="A924" s="4">
        <v>41994.878761574073</v>
      </c>
      <c r="B924" s="2" t="s">
        <v>2185</v>
      </c>
      <c r="C924" s="2" t="s">
        <v>2170</v>
      </c>
      <c r="D924" s="2" t="str">
        <f>"9781780325125"</f>
        <v>9781780325125</v>
      </c>
      <c r="E924" s="2">
        <v>1404652</v>
      </c>
    </row>
    <row r="925" spans="1:5" x14ac:dyDescent="0.25">
      <c r="A925" s="4">
        <v>41994.908159722225</v>
      </c>
      <c r="B925" s="2" t="s">
        <v>392</v>
      </c>
      <c r="C925" s="2" t="s">
        <v>26</v>
      </c>
      <c r="D925" s="2" t="str">
        <f>"9781405172134"</f>
        <v>9781405172134</v>
      </c>
      <c r="E925" s="2">
        <v>284068</v>
      </c>
    </row>
    <row r="926" spans="1:5" x14ac:dyDescent="0.25">
      <c r="A926" s="4">
        <v>41910.726701388892</v>
      </c>
      <c r="B926" s="2" t="s">
        <v>3615</v>
      </c>
      <c r="C926" s="2" t="s">
        <v>18</v>
      </c>
      <c r="D926" s="2" t="str">
        <f>"9781441160614"</f>
        <v>9781441160614</v>
      </c>
      <c r="E926" s="2">
        <v>1158298</v>
      </c>
    </row>
    <row r="927" spans="1:5" x14ac:dyDescent="0.25">
      <c r="A927" s="4">
        <v>41994.88994212963</v>
      </c>
      <c r="B927" s="2" t="s">
        <v>1800</v>
      </c>
      <c r="C927" s="2" t="s">
        <v>72</v>
      </c>
      <c r="D927" s="2" t="str">
        <f>"9780748644223"</f>
        <v>9780748644223</v>
      </c>
      <c r="E927" s="2">
        <v>1767546</v>
      </c>
    </row>
    <row r="928" spans="1:5" x14ac:dyDescent="0.25">
      <c r="A928" s="4">
        <v>41994.884988425925</v>
      </c>
      <c r="B928" s="2" t="s">
        <v>2113</v>
      </c>
      <c r="C928" s="2" t="s">
        <v>18</v>
      </c>
      <c r="D928" s="2" t="str">
        <f>"9781441188366"</f>
        <v>9781441188366</v>
      </c>
      <c r="E928" s="2">
        <v>602025</v>
      </c>
    </row>
    <row r="929" spans="1:5" x14ac:dyDescent="0.25">
      <c r="A929" s="4">
        <v>41994.885034722225</v>
      </c>
      <c r="B929" s="2" t="s">
        <v>2002</v>
      </c>
      <c r="C929" s="2" t="s">
        <v>18</v>
      </c>
      <c r="D929" s="2" t="str">
        <f>"9781472518231"</f>
        <v>9781472518231</v>
      </c>
      <c r="E929" s="2">
        <v>1334415</v>
      </c>
    </row>
    <row r="930" spans="1:5" x14ac:dyDescent="0.25">
      <c r="A930" s="4">
        <v>41904.789317129631</v>
      </c>
      <c r="B930" s="2" t="s">
        <v>3764</v>
      </c>
      <c r="C930" s="2" t="s">
        <v>26</v>
      </c>
      <c r="D930" s="2" t="str">
        <f>"9781118007372"</f>
        <v>9781118007372</v>
      </c>
      <c r="E930" s="2">
        <v>706661</v>
      </c>
    </row>
    <row r="931" spans="1:5" x14ac:dyDescent="0.25">
      <c r="A931" s="4">
        <v>41994.908159722225</v>
      </c>
      <c r="B931" s="2" t="s">
        <v>394</v>
      </c>
      <c r="C931" s="2" t="s">
        <v>26</v>
      </c>
      <c r="D931" s="2" t="str">
        <f>"9780787983857"</f>
        <v>9780787983857</v>
      </c>
      <c r="E931" s="2">
        <v>257234</v>
      </c>
    </row>
    <row r="932" spans="1:5" x14ac:dyDescent="0.25">
      <c r="A932" s="4">
        <v>41994.892951388887</v>
      </c>
      <c r="B932" s="2" t="s">
        <v>1634</v>
      </c>
      <c r="C932" s="2" t="s">
        <v>16</v>
      </c>
      <c r="D932" s="2" t="str">
        <f>"9781462514250"</f>
        <v>9781462514250</v>
      </c>
      <c r="E932" s="2">
        <v>1675474</v>
      </c>
    </row>
    <row r="933" spans="1:5" x14ac:dyDescent="0.25">
      <c r="A933" s="4">
        <v>41907.809212962966</v>
      </c>
      <c r="B933" s="2" t="s">
        <v>3667</v>
      </c>
      <c r="C933" s="2" t="s">
        <v>26</v>
      </c>
      <c r="D933" s="2" t="str">
        <f>"9781118130889"</f>
        <v>9781118130889</v>
      </c>
      <c r="E933" s="2">
        <v>697968</v>
      </c>
    </row>
    <row r="934" spans="1:5" x14ac:dyDescent="0.25">
      <c r="A934" s="4">
        <v>41994.908217592594</v>
      </c>
      <c r="B934" s="2" t="s">
        <v>249</v>
      </c>
      <c r="C934" s="2" t="s">
        <v>26</v>
      </c>
      <c r="D934" s="2" t="str">
        <f>"9781118129821"</f>
        <v>9781118129821</v>
      </c>
      <c r="E934" s="2">
        <v>697722</v>
      </c>
    </row>
    <row r="935" spans="1:5" x14ac:dyDescent="0.25">
      <c r="A935" s="4">
        <v>41994.908206018517</v>
      </c>
      <c r="B935" s="2" t="s">
        <v>285</v>
      </c>
      <c r="C935" s="2" t="s">
        <v>205</v>
      </c>
      <c r="D935" s="2" t="str">
        <f>"9780470945926"</f>
        <v>9780470945926</v>
      </c>
      <c r="E935" s="2">
        <v>661674</v>
      </c>
    </row>
    <row r="936" spans="1:5" x14ac:dyDescent="0.25">
      <c r="A936" s="4">
        <v>41891.817303240743</v>
      </c>
      <c r="B936" s="2" t="s">
        <v>3891</v>
      </c>
      <c r="C936" s="2" t="s">
        <v>7</v>
      </c>
      <c r="D936" s="2" t="str">
        <f>"9781446205181"</f>
        <v>9781446205181</v>
      </c>
      <c r="E936" s="2">
        <v>783524</v>
      </c>
    </row>
    <row r="937" spans="1:5" x14ac:dyDescent="0.25">
      <c r="A937" s="4">
        <v>41904.277222222219</v>
      </c>
      <c r="B937" s="2" t="s">
        <v>3785</v>
      </c>
      <c r="C937" s="2" t="s">
        <v>63</v>
      </c>
      <c r="D937" s="2" t="str">
        <f>"9781400821211"</f>
        <v>9781400821211</v>
      </c>
      <c r="E937" s="2">
        <v>496205</v>
      </c>
    </row>
    <row r="938" spans="1:5" x14ac:dyDescent="0.25">
      <c r="A938" s="4">
        <v>41901.61277777778</v>
      </c>
      <c r="B938" s="2" t="s">
        <v>3817</v>
      </c>
      <c r="C938" s="2" t="s">
        <v>119</v>
      </c>
      <c r="D938" s="2" t="str">
        <f>"9780520952065"</f>
        <v>9780520952065</v>
      </c>
      <c r="E938" s="2">
        <v>850697</v>
      </c>
    </row>
    <row r="939" spans="1:5" x14ac:dyDescent="0.25">
      <c r="A939" s="4">
        <v>41994.908171296294</v>
      </c>
      <c r="B939" s="2" t="s">
        <v>371</v>
      </c>
      <c r="C939" s="2" t="s">
        <v>26</v>
      </c>
      <c r="D939" s="2" t="str">
        <f>"9780470727294"</f>
        <v>9780470727294</v>
      </c>
      <c r="E939" s="2">
        <v>351058</v>
      </c>
    </row>
    <row r="940" spans="1:5" x14ac:dyDescent="0.25">
      <c r="A940" s="4">
        <v>41975.616435185184</v>
      </c>
      <c r="B940" s="2" t="s">
        <v>2818</v>
      </c>
      <c r="C940" s="2" t="s">
        <v>26</v>
      </c>
      <c r="D940" s="2" t="str">
        <f>"9780470618721"</f>
        <v>9780470618721</v>
      </c>
      <c r="E940" s="2">
        <v>495987</v>
      </c>
    </row>
    <row r="941" spans="1:5" x14ac:dyDescent="0.25">
      <c r="A941" s="4">
        <v>41982.329791666663</v>
      </c>
      <c r="B941" s="2" t="s">
        <v>2454</v>
      </c>
      <c r="C941" s="2" t="s">
        <v>26</v>
      </c>
      <c r="D941" s="2" t="str">
        <f>"9781841128108"</f>
        <v>9781841128108</v>
      </c>
      <c r="E941" s="2">
        <v>470367</v>
      </c>
    </row>
    <row r="942" spans="1:5" x14ac:dyDescent="0.25">
      <c r="A942" s="4">
        <v>43202.453611111108</v>
      </c>
      <c r="B942" s="2" t="s">
        <v>64</v>
      </c>
      <c r="C942" s="2" t="s">
        <v>7</v>
      </c>
      <c r="D942" s="2" t="str">
        <f>"9781473908406"</f>
        <v>9781473908406</v>
      </c>
      <c r="E942" s="2">
        <v>1712673</v>
      </c>
    </row>
    <row r="943" spans="1:5" x14ac:dyDescent="0.25">
      <c r="A943" s="4">
        <v>41994.90824074074</v>
      </c>
      <c r="B943" s="2" t="s">
        <v>165</v>
      </c>
      <c r="C943" s="2" t="s">
        <v>26</v>
      </c>
      <c r="D943" s="2" t="str">
        <f>"9781119954248"</f>
        <v>9781119954248</v>
      </c>
      <c r="E943" s="2">
        <v>822574</v>
      </c>
    </row>
    <row r="944" spans="1:5" x14ac:dyDescent="0.25">
      <c r="A944" s="4">
        <v>41908.33556712963</v>
      </c>
      <c r="B944" s="2" t="s">
        <v>3659</v>
      </c>
      <c r="C944" s="2" t="s">
        <v>7</v>
      </c>
      <c r="D944" s="2" t="str">
        <f>"9781452249988"</f>
        <v>9781452249988</v>
      </c>
      <c r="E944" s="2">
        <v>1598448</v>
      </c>
    </row>
    <row r="945" spans="1:5" x14ac:dyDescent="0.25">
      <c r="A945" s="4">
        <v>41975.922662037039</v>
      </c>
      <c r="B945" s="2" t="s">
        <v>2754</v>
      </c>
      <c r="C945" s="2" t="s">
        <v>7</v>
      </c>
      <c r="D945" s="2" t="str">
        <f>"9780857022929"</f>
        <v>9780857022929</v>
      </c>
      <c r="E945" s="2">
        <v>483407</v>
      </c>
    </row>
    <row r="946" spans="1:5" x14ac:dyDescent="0.25">
      <c r="A946" s="4">
        <v>41994.892951388887</v>
      </c>
      <c r="B946" s="2" t="s">
        <v>1625</v>
      </c>
      <c r="C946" s="2" t="s">
        <v>16</v>
      </c>
      <c r="D946" s="2" t="str">
        <f>"9781462518265"</f>
        <v>9781462518265</v>
      </c>
      <c r="E946" s="2">
        <v>1760727</v>
      </c>
    </row>
    <row r="947" spans="1:5" x14ac:dyDescent="0.25">
      <c r="A947" s="4">
        <v>41994.892951388887</v>
      </c>
      <c r="B947" s="2" t="s">
        <v>1628</v>
      </c>
      <c r="C947" s="2" t="s">
        <v>16</v>
      </c>
      <c r="D947" s="2" t="str">
        <f>"9781462515783"</f>
        <v>9781462515783</v>
      </c>
      <c r="E947" s="2">
        <v>1742843</v>
      </c>
    </row>
    <row r="948" spans="1:5" x14ac:dyDescent="0.25">
      <c r="A948" s="4">
        <v>41994.899143518516</v>
      </c>
      <c r="B948" s="2" t="s">
        <v>1098</v>
      </c>
      <c r="C948" s="2" t="s">
        <v>63</v>
      </c>
      <c r="D948" s="2" t="str">
        <f>"9781400850839"</f>
        <v>9781400850839</v>
      </c>
      <c r="E948" s="2">
        <v>1573485</v>
      </c>
    </row>
    <row r="949" spans="1:5" x14ac:dyDescent="0.25">
      <c r="A949" s="4">
        <v>41925.372118055559</v>
      </c>
      <c r="B949" s="2" t="s">
        <v>3283</v>
      </c>
      <c r="C949" s="2" t="s">
        <v>26</v>
      </c>
      <c r="D949" s="2" t="str">
        <f>"9781444355246"</f>
        <v>9781444355246</v>
      </c>
      <c r="E949" s="2">
        <v>826887</v>
      </c>
    </row>
    <row r="950" spans="1:5" x14ac:dyDescent="0.25">
      <c r="A950" s="4">
        <v>41897.565347222226</v>
      </c>
      <c r="B950" s="2" t="s">
        <v>3871</v>
      </c>
      <c r="C950" s="2" t="s">
        <v>26</v>
      </c>
      <c r="D950" s="2" t="str">
        <f>"9781118003305"</f>
        <v>9781118003305</v>
      </c>
      <c r="E950" s="2">
        <v>706769</v>
      </c>
    </row>
    <row r="951" spans="1:5" x14ac:dyDescent="0.25">
      <c r="A951" s="4">
        <v>41994.892939814818</v>
      </c>
      <c r="B951" s="2" t="s">
        <v>1643</v>
      </c>
      <c r="C951" s="2" t="s">
        <v>16</v>
      </c>
      <c r="D951" s="2" t="str">
        <f>"9781462512355"</f>
        <v>9781462512355</v>
      </c>
      <c r="E951" s="2">
        <v>1513943</v>
      </c>
    </row>
    <row r="952" spans="1:5" x14ac:dyDescent="0.25">
      <c r="A952" s="4">
        <v>41877.680763888886</v>
      </c>
      <c r="B952" s="2" t="s">
        <v>3932</v>
      </c>
      <c r="C952" s="2" t="s">
        <v>16</v>
      </c>
      <c r="D952" s="2" t="str">
        <f>"9781462513550"</f>
        <v>9781462513550</v>
      </c>
      <c r="E952" s="2">
        <v>1595952</v>
      </c>
    </row>
    <row r="953" spans="1:5" x14ac:dyDescent="0.25">
      <c r="A953" s="4">
        <v>41994.892905092594</v>
      </c>
      <c r="B953" s="2" t="s">
        <v>1743</v>
      </c>
      <c r="C953" s="2" t="s">
        <v>16</v>
      </c>
      <c r="D953" s="2" t="str">
        <f>"9781606235430"</f>
        <v>9781606235430</v>
      </c>
      <c r="E953" s="2">
        <v>515891</v>
      </c>
    </row>
    <row r="954" spans="1:5" x14ac:dyDescent="0.25">
      <c r="A954" s="4">
        <v>41994.878750000003</v>
      </c>
      <c r="B954" s="2" t="s">
        <v>2204</v>
      </c>
      <c r="C954" s="2" t="s">
        <v>2170</v>
      </c>
      <c r="D954" s="2" t="str">
        <f>"9781848135390"</f>
        <v>9781848135390</v>
      </c>
      <c r="E954" s="2">
        <v>619252</v>
      </c>
    </row>
    <row r="955" spans="1:5" x14ac:dyDescent="0.25">
      <c r="A955" s="4">
        <v>41994.885000000002</v>
      </c>
      <c r="B955" s="2" t="s">
        <v>2105</v>
      </c>
      <c r="C955" s="2" t="s">
        <v>74</v>
      </c>
      <c r="D955" s="2" t="str">
        <f>"9781441116024"</f>
        <v>9781441116024</v>
      </c>
      <c r="E955" s="2">
        <v>661026</v>
      </c>
    </row>
    <row r="956" spans="1:5" x14ac:dyDescent="0.25">
      <c r="A956" s="4">
        <v>41994.889872685184</v>
      </c>
      <c r="B956" s="2" t="s">
        <v>1899</v>
      </c>
      <c r="C956" s="2" t="s">
        <v>72</v>
      </c>
      <c r="D956" s="2" t="str">
        <f>"9780748635023"</f>
        <v>9780748635023</v>
      </c>
      <c r="E956" s="2">
        <v>537033</v>
      </c>
    </row>
    <row r="957" spans="1:5" x14ac:dyDescent="0.25">
      <c r="A957" s="4">
        <v>41994.908194444448</v>
      </c>
      <c r="B957" s="2" t="s">
        <v>324</v>
      </c>
      <c r="C957" s="2" t="s">
        <v>160</v>
      </c>
      <c r="D957" s="2" t="str">
        <f>"9781444323467"</f>
        <v>9781444323467</v>
      </c>
      <c r="E957" s="2">
        <v>516965</v>
      </c>
    </row>
    <row r="958" spans="1:5" x14ac:dyDescent="0.25">
      <c r="A958" s="4">
        <v>41872.51458333333</v>
      </c>
      <c r="B958" s="2" t="s">
        <v>3945</v>
      </c>
      <c r="C958" s="2" t="s">
        <v>63</v>
      </c>
      <c r="D958" s="2" t="str">
        <f>"9781400849918"</f>
        <v>9781400849918</v>
      </c>
      <c r="E958" s="2">
        <v>1543267</v>
      </c>
    </row>
    <row r="959" spans="1:5" x14ac:dyDescent="0.25">
      <c r="A959" s="4">
        <v>41994.901944444442</v>
      </c>
      <c r="B959" s="2" t="s">
        <v>918</v>
      </c>
      <c r="C959" s="2" t="s">
        <v>119</v>
      </c>
      <c r="D959" s="2" t="str">
        <f>"9780520947405"</f>
        <v>9780520947405</v>
      </c>
      <c r="E959" s="2">
        <v>566753</v>
      </c>
    </row>
    <row r="960" spans="1:5" x14ac:dyDescent="0.25">
      <c r="A960" s="4">
        <v>41981.674004629633</v>
      </c>
      <c r="B960" s="2" t="s">
        <v>2470</v>
      </c>
      <c r="C960" s="2" t="s">
        <v>26</v>
      </c>
      <c r="D960" s="2" t="str">
        <f>"9780470909652"</f>
        <v>9780470909652</v>
      </c>
      <c r="E960" s="2">
        <v>706512</v>
      </c>
    </row>
    <row r="961" spans="1:5" x14ac:dyDescent="0.25">
      <c r="A961" s="4">
        <v>41933.840416666666</v>
      </c>
      <c r="B961" s="2" t="s">
        <v>3076</v>
      </c>
      <c r="C961" s="2" t="s">
        <v>16</v>
      </c>
      <c r="D961" s="2" t="str">
        <f>"9781593857295"</f>
        <v>9781593857295</v>
      </c>
      <c r="E961" s="2">
        <v>320575</v>
      </c>
    </row>
    <row r="962" spans="1:5" x14ac:dyDescent="0.25">
      <c r="A962" s="4">
        <v>41994.892916666664</v>
      </c>
      <c r="B962" s="2" t="s">
        <v>1713</v>
      </c>
      <c r="C962" s="2" t="s">
        <v>16</v>
      </c>
      <c r="D962" s="2" t="str">
        <f>"9781609182175"</f>
        <v>9781609182175</v>
      </c>
      <c r="E962" s="2">
        <v>684301</v>
      </c>
    </row>
    <row r="963" spans="1:5" x14ac:dyDescent="0.25">
      <c r="A963" s="4">
        <v>41994.901932870373</v>
      </c>
      <c r="B963" s="2" t="s">
        <v>947</v>
      </c>
      <c r="C963" s="2" t="s">
        <v>119</v>
      </c>
      <c r="D963" s="2" t="str">
        <f>"9780520943094"</f>
        <v>9780520943094</v>
      </c>
      <c r="E963" s="2">
        <v>470929</v>
      </c>
    </row>
    <row r="964" spans="1:5" x14ac:dyDescent="0.25">
      <c r="A964" s="4">
        <v>41976.596261574072</v>
      </c>
      <c r="B964" s="2" t="s">
        <v>2670</v>
      </c>
      <c r="C964" s="2" t="s">
        <v>7</v>
      </c>
      <c r="D964" s="2" t="str">
        <f>"9781848609204"</f>
        <v>9781848609204</v>
      </c>
      <c r="E964" s="2">
        <v>1024100</v>
      </c>
    </row>
    <row r="965" spans="1:5" x14ac:dyDescent="0.25">
      <c r="A965" s="4">
        <v>41994.899062500001</v>
      </c>
      <c r="B965" s="2" t="s">
        <v>1362</v>
      </c>
      <c r="C965" s="2" t="s">
        <v>63</v>
      </c>
      <c r="D965" s="2" t="str">
        <f>"9781400824229"</f>
        <v>9781400824229</v>
      </c>
      <c r="E965" s="2">
        <v>581572</v>
      </c>
    </row>
    <row r="966" spans="1:5" x14ac:dyDescent="0.25">
      <c r="A966" s="4">
        <v>41975.940081018518</v>
      </c>
      <c r="B966" s="2" t="s">
        <v>2750</v>
      </c>
      <c r="C966" s="2" t="s">
        <v>2283</v>
      </c>
      <c r="D966" s="2" t="str">
        <f>"9789027290625"</f>
        <v>9789027290625</v>
      </c>
      <c r="E966" s="2">
        <v>622463</v>
      </c>
    </row>
    <row r="967" spans="1:5" x14ac:dyDescent="0.25">
      <c r="A967" s="4">
        <v>41932.837002314816</v>
      </c>
      <c r="B967" s="2" t="s">
        <v>3108</v>
      </c>
      <c r="C967" s="2" t="s">
        <v>63</v>
      </c>
      <c r="D967" s="2" t="str">
        <f>"9781400837755"</f>
        <v>9781400837755</v>
      </c>
      <c r="E967" s="2">
        <v>664568</v>
      </c>
    </row>
    <row r="968" spans="1:5" x14ac:dyDescent="0.25">
      <c r="A968" s="4">
        <v>41994.901956018519</v>
      </c>
      <c r="B968" s="2" t="s">
        <v>859</v>
      </c>
      <c r="C968" s="2" t="s">
        <v>119</v>
      </c>
      <c r="D968" s="2" t="str">
        <f>"9780520950047"</f>
        <v>9780520950047</v>
      </c>
      <c r="E968" s="2">
        <v>718663</v>
      </c>
    </row>
    <row r="969" spans="1:5" x14ac:dyDescent="0.25">
      <c r="A969" s="4">
        <v>41994.889826388891</v>
      </c>
      <c r="B969" s="2" t="s">
        <v>1930</v>
      </c>
      <c r="C969" s="2" t="s">
        <v>72</v>
      </c>
      <c r="D969" s="2" t="str">
        <f>"9780748626533"</f>
        <v>9780748626533</v>
      </c>
      <c r="E969" s="2">
        <v>275808</v>
      </c>
    </row>
    <row r="970" spans="1:5" x14ac:dyDescent="0.25">
      <c r="A970" s="4">
        <v>41975.418668981481</v>
      </c>
      <c r="B970" s="2" t="s">
        <v>2857</v>
      </c>
      <c r="C970" s="2" t="s">
        <v>2283</v>
      </c>
      <c r="D970" s="2" t="str">
        <f>"9789027282606"</f>
        <v>9789027282606</v>
      </c>
      <c r="E970" s="2">
        <v>741343</v>
      </c>
    </row>
    <row r="971" spans="1:5" x14ac:dyDescent="0.25">
      <c r="A971" s="4">
        <v>41918.517129629632</v>
      </c>
      <c r="B971" s="2" t="s">
        <v>3434</v>
      </c>
      <c r="C971" s="2" t="s">
        <v>18</v>
      </c>
      <c r="D971" s="2" t="str">
        <f>"9781441123039"</f>
        <v>9781441123039</v>
      </c>
      <c r="E971" s="2">
        <v>1222437</v>
      </c>
    </row>
    <row r="972" spans="1:5" x14ac:dyDescent="0.25">
      <c r="A972" s="4">
        <v>41928.46738425926</v>
      </c>
      <c r="B972" s="2" t="s">
        <v>3199</v>
      </c>
      <c r="C972" s="2" t="s">
        <v>119</v>
      </c>
      <c r="D972" s="2" t="str">
        <f>"9780520930667"</f>
        <v>9780520930667</v>
      </c>
      <c r="E972" s="2">
        <v>227291</v>
      </c>
    </row>
    <row r="973" spans="1:5" x14ac:dyDescent="0.25">
      <c r="A973" s="4">
        <v>41994.892916666664</v>
      </c>
      <c r="B973" s="2" t="s">
        <v>1720</v>
      </c>
      <c r="C973" s="2" t="s">
        <v>16</v>
      </c>
      <c r="D973" s="2" t="str">
        <f>"9781609181291"</f>
        <v>9781609181291</v>
      </c>
      <c r="E973" s="2">
        <v>674982</v>
      </c>
    </row>
    <row r="974" spans="1:5" x14ac:dyDescent="0.25">
      <c r="A974" s="4">
        <v>41994.899039351854</v>
      </c>
      <c r="B974" s="2" t="s">
        <v>1429</v>
      </c>
      <c r="C974" s="2" t="s">
        <v>63</v>
      </c>
      <c r="D974" s="2" t="str">
        <f>"9781400826674"</f>
        <v>9781400826674</v>
      </c>
      <c r="E974" s="2">
        <v>445460</v>
      </c>
    </row>
    <row r="975" spans="1:5" x14ac:dyDescent="0.25">
      <c r="A975" s="4">
        <v>41904.738622685189</v>
      </c>
      <c r="B975" s="2" t="s">
        <v>3767</v>
      </c>
      <c r="C975" s="2" t="s">
        <v>119</v>
      </c>
      <c r="D975" s="2" t="str">
        <f>"9780520951389"</f>
        <v>9780520951389</v>
      </c>
      <c r="E975" s="2">
        <v>894683</v>
      </c>
    </row>
    <row r="976" spans="1:5" x14ac:dyDescent="0.25">
      <c r="A976" s="4">
        <v>41994.902013888888</v>
      </c>
      <c r="B976" s="2" t="s">
        <v>659</v>
      </c>
      <c r="C976" s="2" t="s">
        <v>119</v>
      </c>
      <c r="D976" s="2" t="str">
        <f>"9780520957787"</f>
        <v>9780520957787</v>
      </c>
      <c r="E976" s="2">
        <v>1691118</v>
      </c>
    </row>
    <row r="977" spans="1:5" x14ac:dyDescent="0.25">
      <c r="A977" s="4">
        <v>41994.902025462965</v>
      </c>
      <c r="B977" s="2" t="s">
        <v>646</v>
      </c>
      <c r="C977" s="2" t="s">
        <v>119</v>
      </c>
      <c r="D977" s="2" t="str">
        <f>"9780520959088"</f>
        <v>9780520959088</v>
      </c>
      <c r="E977" s="2">
        <v>1711009</v>
      </c>
    </row>
    <row r="978" spans="1:5" x14ac:dyDescent="0.25">
      <c r="A978" s="4">
        <v>41979.796226851853</v>
      </c>
      <c r="B978" s="2" t="s">
        <v>2530</v>
      </c>
      <c r="C978" s="2" t="s">
        <v>63</v>
      </c>
      <c r="D978" s="2" t="str">
        <f>"9781400835140"</f>
        <v>9781400835140</v>
      </c>
      <c r="E978" s="2">
        <v>726049</v>
      </c>
    </row>
    <row r="979" spans="1:5" x14ac:dyDescent="0.25">
      <c r="A979" s="4">
        <v>42121.767916666664</v>
      </c>
      <c r="B979" s="2" t="s">
        <v>2238</v>
      </c>
      <c r="C979" s="2" t="s">
        <v>36</v>
      </c>
      <c r="D979" s="2" t="str">
        <f>"9781476600093"</f>
        <v>9781476600093</v>
      </c>
      <c r="E979" s="2">
        <v>1109590</v>
      </c>
    </row>
    <row r="980" spans="1:5" x14ac:dyDescent="0.25">
      <c r="A980" s="4">
        <v>41903.938576388886</v>
      </c>
      <c r="B980" s="2" t="s">
        <v>2238</v>
      </c>
      <c r="C980" s="2" t="s">
        <v>36</v>
      </c>
      <c r="D980" s="2" t="str">
        <f>"9781476600093"</f>
        <v>9781476600093</v>
      </c>
      <c r="E980" s="2">
        <v>1109590</v>
      </c>
    </row>
    <row r="981" spans="1:5" x14ac:dyDescent="0.25">
      <c r="A981" s="4">
        <v>41907.481712962966</v>
      </c>
      <c r="B981" s="2" t="s">
        <v>3683</v>
      </c>
      <c r="C981" s="2" t="s">
        <v>26</v>
      </c>
      <c r="D981" s="2" t="str">
        <f>"9781444344516"</f>
        <v>9781444344516</v>
      </c>
      <c r="E981" s="2">
        <v>697773</v>
      </c>
    </row>
    <row r="982" spans="1:5" x14ac:dyDescent="0.25">
      <c r="A982" s="4">
        <v>41994.899050925924</v>
      </c>
      <c r="B982" s="2" t="s">
        <v>1421</v>
      </c>
      <c r="C982" s="2" t="s">
        <v>63</v>
      </c>
      <c r="D982" s="2" t="str">
        <f>"9781400824984"</f>
        <v>9781400824984</v>
      </c>
      <c r="E982" s="2">
        <v>445556</v>
      </c>
    </row>
    <row r="983" spans="1:5" x14ac:dyDescent="0.25">
      <c r="A983" s="4">
        <v>41975.89806712963</v>
      </c>
      <c r="B983" s="2" t="s">
        <v>2758</v>
      </c>
      <c r="C983" s="2" t="s">
        <v>5</v>
      </c>
      <c r="D983" s="2" t="str">
        <f>"9781846424199"</f>
        <v>9781846424199</v>
      </c>
      <c r="E983" s="2">
        <v>290837</v>
      </c>
    </row>
    <row r="984" spans="1:5" x14ac:dyDescent="0.25">
      <c r="A984" s="4">
        <v>41994.889907407407</v>
      </c>
      <c r="B984" s="2" t="s">
        <v>1855</v>
      </c>
      <c r="C984" s="2" t="s">
        <v>72</v>
      </c>
      <c r="D984" s="2" t="str">
        <f>"9780748646760"</f>
        <v>9780748646760</v>
      </c>
      <c r="E984" s="2">
        <v>932462</v>
      </c>
    </row>
    <row r="985" spans="1:5" x14ac:dyDescent="0.25">
      <c r="A985" s="4">
        <v>41994.899155092593</v>
      </c>
      <c r="B985" s="2" t="s">
        <v>1068</v>
      </c>
      <c r="C985" s="2" t="s">
        <v>63</v>
      </c>
      <c r="D985" s="2" t="str">
        <f>"9781400851928"</f>
        <v>9781400851928</v>
      </c>
      <c r="E985" s="2">
        <v>1694931</v>
      </c>
    </row>
    <row r="986" spans="1:5" x14ac:dyDescent="0.25">
      <c r="A986" s="4">
        <v>41994.905613425923</v>
      </c>
      <c r="B986" s="2" t="s">
        <v>492</v>
      </c>
      <c r="C986" s="2" t="s">
        <v>96</v>
      </c>
      <c r="D986" s="2" t="str">
        <f>"9780807837399"</f>
        <v>9780807837399</v>
      </c>
      <c r="E986" s="2">
        <v>1035008</v>
      </c>
    </row>
    <row r="987" spans="1:5" x14ac:dyDescent="0.25">
      <c r="A987" s="4">
        <v>41976.648252314815</v>
      </c>
      <c r="B987" s="2" t="s">
        <v>2654</v>
      </c>
      <c r="C987" s="2" t="s">
        <v>36</v>
      </c>
      <c r="D987" s="2" t="str">
        <f>"9781476610498"</f>
        <v>9781476610498</v>
      </c>
      <c r="E987" s="2">
        <v>1801273</v>
      </c>
    </row>
    <row r="988" spans="1:5" x14ac:dyDescent="0.25">
      <c r="A988" s="4">
        <v>41994.899039351854</v>
      </c>
      <c r="B988" s="2" t="s">
        <v>1426</v>
      </c>
      <c r="C988" s="2" t="s">
        <v>63</v>
      </c>
      <c r="D988" s="2" t="str">
        <f>"9781400826278"</f>
        <v>9781400826278</v>
      </c>
      <c r="E988" s="2">
        <v>445494</v>
      </c>
    </row>
    <row r="989" spans="1:5" x14ac:dyDescent="0.25">
      <c r="A989" s="4">
        <v>41935.512870370374</v>
      </c>
      <c r="B989" s="2" t="s">
        <v>3033</v>
      </c>
      <c r="C989" s="2" t="s">
        <v>7</v>
      </c>
      <c r="D989" s="2" t="str">
        <f>"9781452254319"</f>
        <v>9781452254319</v>
      </c>
      <c r="E989" s="2">
        <v>1652019</v>
      </c>
    </row>
    <row r="990" spans="1:5" x14ac:dyDescent="0.25">
      <c r="A990" s="4">
        <v>41976.44189814815</v>
      </c>
      <c r="B990" s="2" t="s">
        <v>2711</v>
      </c>
      <c r="C990" s="2" t="s">
        <v>7</v>
      </c>
      <c r="D990" s="2" t="str">
        <f>"9781452263526"</f>
        <v>9781452263526</v>
      </c>
      <c r="E990" s="2">
        <v>1195904</v>
      </c>
    </row>
    <row r="991" spans="1:5" x14ac:dyDescent="0.25">
      <c r="A991" s="4">
        <v>41926.69835648148</v>
      </c>
      <c r="B991" s="2" t="s">
        <v>3238</v>
      </c>
      <c r="C991" s="2" t="s">
        <v>7</v>
      </c>
      <c r="D991" s="2" t="str">
        <f>"9781446249536"</f>
        <v>9781446249536</v>
      </c>
      <c r="E991" s="2">
        <v>783516</v>
      </c>
    </row>
    <row r="992" spans="1:5" x14ac:dyDescent="0.25">
      <c r="A992" s="4">
        <v>41911.619016203702</v>
      </c>
      <c r="B992" s="2" t="s">
        <v>3594</v>
      </c>
      <c r="C992" s="2" t="s">
        <v>7</v>
      </c>
      <c r="D992" s="2" t="str">
        <f>"9781446204054"</f>
        <v>9781446204054</v>
      </c>
      <c r="E992" s="2">
        <v>880859</v>
      </c>
    </row>
    <row r="993" spans="1:5" x14ac:dyDescent="0.25">
      <c r="A993" s="4">
        <v>41905.434074074074</v>
      </c>
      <c r="B993" s="2" t="s">
        <v>3748</v>
      </c>
      <c r="C993" s="2" t="s">
        <v>119</v>
      </c>
      <c r="D993" s="2" t="str">
        <f>"9780520955134"</f>
        <v>9780520955134</v>
      </c>
      <c r="E993" s="2">
        <v>1138204</v>
      </c>
    </row>
    <row r="994" spans="1:5" x14ac:dyDescent="0.25">
      <c r="A994" s="4">
        <v>41994.908148148148</v>
      </c>
      <c r="B994" s="2" t="s">
        <v>418</v>
      </c>
      <c r="C994" s="2" t="s">
        <v>419</v>
      </c>
      <c r="D994" s="2" t="str">
        <f>"9780764521911"</f>
        <v>9780764521911</v>
      </c>
      <c r="E994" s="2">
        <v>129733</v>
      </c>
    </row>
    <row r="995" spans="1:5" x14ac:dyDescent="0.25">
      <c r="A995" s="4">
        <v>41994.885046296295</v>
      </c>
      <c r="B995" s="2" t="s">
        <v>1972</v>
      </c>
      <c r="C995" s="2" t="s">
        <v>74</v>
      </c>
      <c r="D995" s="2" t="str">
        <f>"9781623562151"</f>
        <v>9781623562151</v>
      </c>
      <c r="E995" s="2">
        <v>1580821</v>
      </c>
    </row>
    <row r="996" spans="1:5" x14ac:dyDescent="0.25">
      <c r="A996" s="4">
        <v>41994.905613425923</v>
      </c>
      <c r="B996" s="2" t="s">
        <v>481</v>
      </c>
      <c r="C996" s="2" t="s">
        <v>424</v>
      </c>
      <c r="D996" s="2" t="str">
        <f>"9781469610214"</f>
        <v>9781469610214</v>
      </c>
      <c r="E996" s="2">
        <v>1107604</v>
      </c>
    </row>
    <row r="997" spans="1:5" x14ac:dyDescent="0.25">
      <c r="A997" s="4">
        <v>41982.559652777774</v>
      </c>
      <c r="B997" s="2" t="s">
        <v>2434</v>
      </c>
      <c r="C997" s="2" t="s">
        <v>119</v>
      </c>
      <c r="D997" s="2" t="str">
        <f>"9780520915381"</f>
        <v>9780520915381</v>
      </c>
      <c r="E997" s="2">
        <v>223794</v>
      </c>
    </row>
    <row r="998" spans="1:5" x14ac:dyDescent="0.25">
      <c r="A998" s="4">
        <v>43207.449363425927</v>
      </c>
      <c r="B998" s="2" t="s">
        <v>47</v>
      </c>
      <c r="C998" s="2" t="s">
        <v>18</v>
      </c>
      <c r="D998" s="2" t="str">
        <f>"9781472592224"</f>
        <v>9781472592224</v>
      </c>
      <c r="E998" s="2">
        <v>4875440</v>
      </c>
    </row>
    <row r="999" spans="1:5" x14ac:dyDescent="0.25">
      <c r="A999" s="4">
        <v>41934.474374999998</v>
      </c>
      <c r="B999" s="2" t="s">
        <v>3062</v>
      </c>
      <c r="C999" s="2" t="s">
        <v>36</v>
      </c>
      <c r="D999" s="2" t="str">
        <f>"9781476600130"</f>
        <v>9781476600130</v>
      </c>
      <c r="E999" s="2">
        <v>1037530</v>
      </c>
    </row>
    <row r="1000" spans="1:5" x14ac:dyDescent="0.25">
      <c r="A1000" s="4">
        <v>41884.534687500003</v>
      </c>
      <c r="B1000" s="2" t="s">
        <v>3911</v>
      </c>
      <c r="C1000" s="2" t="s">
        <v>26</v>
      </c>
      <c r="D1000" s="2" t="str">
        <f>"9780470282892"</f>
        <v>9780470282892</v>
      </c>
      <c r="E1000" s="2">
        <v>331539</v>
      </c>
    </row>
    <row r="1001" spans="1:5" x14ac:dyDescent="0.25">
      <c r="A1001" s="4">
        <v>41994.905590277776</v>
      </c>
      <c r="B1001" s="2" t="s">
        <v>564</v>
      </c>
      <c r="C1001" s="2" t="s">
        <v>96</v>
      </c>
      <c r="D1001" s="2" t="str">
        <f>"9780807877784"</f>
        <v>9780807877784</v>
      </c>
      <c r="E1001" s="2">
        <v>690707</v>
      </c>
    </row>
    <row r="1002" spans="1:5" x14ac:dyDescent="0.25">
      <c r="A1002" s="4">
        <v>41900.402881944443</v>
      </c>
      <c r="B1002" s="2" t="s">
        <v>3841</v>
      </c>
      <c r="C1002" s="2" t="s">
        <v>63</v>
      </c>
      <c r="D1002" s="2" t="str">
        <f>"9781400839148"</f>
        <v>9781400839148</v>
      </c>
      <c r="E1002" s="2">
        <v>833045</v>
      </c>
    </row>
    <row r="1003" spans="1:5" x14ac:dyDescent="0.25">
      <c r="A1003" s="4">
        <v>41994.896157407406</v>
      </c>
      <c r="B1003" s="2" t="s">
        <v>1483</v>
      </c>
      <c r="C1003" s="2" t="s">
        <v>28</v>
      </c>
      <c r="D1003" s="2" t="str">
        <f>"9780253007988"</f>
        <v>9780253007988</v>
      </c>
      <c r="E1003" s="2">
        <v>1180202</v>
      </c>
    </row>
    <row r="1004" spans="1:5" x14ac:dyDescent="0.25">
      <c r="A1004" s="4">
        <v>41994.901944444442</v>
      </c>
      <c r="B1004" s="2" t="s">
        <v>890</v>
      </c>
      <c r="C1004" s="2" t="s">
        <v>119</v>
      </c>
      <c r="D1004" s="2" t="str">
        <f>"9780520947856"</f>
        <v>9780520947856</v>
      </c>
      <c r="E1004" s="2">
        <v>646813</v>
      </c>
    </row>
    <row r="1005" spans="1:5" x14ac:dyDescent="0.25">
      <c r="A1005" s="4">
        <v>41994.884965277779</v>
      </c>
      <c r="B1005" s="2" t="s">
        <v>2165</v>
      </c>
      <c r="C1005" s="2" t="s">
        <v>2166</v>
      </c>
      <c r="D1005" s="2" t="str">
        <f>"9781847142641"</f>
        <v>9781847142641</v>
      </c>
      <c r="E1005" s="2">
        <v>436074</v>
      </c>
    </row>
    <row r="1006" spans="1:5" x14ac:dyDescent="0.25">
      <c r="A1006" s="4">
        <v>41994.905636574076</v>
      </c>
      <c r="B1006" s="2" t="s">
        <v>438</v>
      </c>
      <c r="C1006" s="2" t="s">
        <v>96</v>
      </c>
      <c r="D1006" s="2" t="str">
        <f>"9781469615479"</f>
        <v>9781469615479</v>
      </c>
      <c r="E1006" s="2">
        <v>1663559</v>
      </c>
    </row>
    <row r="1007" spans="1:5" x14ac:dyDescent="0.25">
      <c r="A1007" s="4">
        <v>41922.480023148149</v>
      </c>
      <c r="B1007" s="2" t="s">
        <v>3320</v>
      </c>
      <c r="C1007" s="2" t="s">
        <v>26</v>
      </c>
      <c r="D1007" s="2" t="str">
        <f>"9780470594360"</f>
        <v>9780470594360</v>
      </c>
      <c r="E1007" s="2">
        <v>510151</v>
      </c>
    </row>
    <row r="1008" spans="1:5" x14ac:dyDescent="0.25">
      <c r="A1008" s="4">
        <v>41974.447129629632</v>
      </c>
      <c r="B1008" s="2" t="s">
        <v>2985</v>
      </c>
      <c r="C1008" s="2" t="s">
        <v>26</v>
      </c>
      <c r="D1008" s="2" t="str">
        <f>"9780470638514"</f>
        <v>9780470638514</v>
      </c>
      <c r="E1008" s="2">
        <v>555025</v>
      </c>
    </row>
    <row r="1009" spans="1:5" x14ac:dyDescent="0.25">
      <c r="A1009" s="4">
        <v>41908.656736111108</v>
      </c>
      <c r="B1009" s="2" t="s">
        <v>3647</v>
      </c>
      <c r="C1009" s="2" t="s">
        <v>16</v>
      </c>
      <c r="D1009" s="2" t="str">
        <f>"9781462516254"</f>
        <v>9781462516254</v>
      </c>
      <c r="E1009" s="2">
        <v>1687475</v>
      </c>
    </row>
    <row r="1010" spans="1:5" x14ac:dyDescent="0.25">
      <c r="A1010" s="4">
        <v>41994.908182870371</v>
      </c>
      <c r="B1010" s="2" t="s">
        <v>342</v>
      </c>
      <c r="C1010" s="2" t="s">
        <v>26</v>
      </c>
      <c r="D1010" s="2" t="str">
        <f>"9780470542224"</f>
        <v>9780470542224</v>
      </c>
      <c r="E1010" s="2">
        <v>469291</v>
      </c>
    </row>
    <row r="1011" spans="1:5" x14ac:dyDescent="0.25">
      <c r="A1011" s="4">
        <v>41976.662708333337</v>
      </c>
      <c r="B1011" s="2" t="s">
        <v>2652</v>
      </c>
      <c r="C1011" s="2" t="s">
        <v>26</v>
      </c>
      <c r="D1011" s="2" t="str">
        <f>"9780470434659"</f>
        <v>9780470434659</v>
      </c>
      <c r="E1011" s="2">
        <v>380459</v>
      </c>
    </row>
    <row r="1012" spans="1:5" x14ac:dyDescent="0.25">
      <c r="A1012" s="4">
        <v>41994.878750000003</v>
      </c>
      <c r="B1012" s="2" t="s">
        <v>2196</v>
      </c>
      <c r="C1012" s="2" t="s">
        <v>2170</v>
      </c>
      <c r="D1012" s="2" t="str">
        <f>"9781848138889"</f>
        <v>9781848138889</v>
      </c>
      <c r="E1012" s="2">
        <v>933048</v>
      </c>
    </row>
    <row r="1013" spans="1:5" x14ac:dyDescent="0.25">
      <c r="A1013" s="4">
        <v>41994.892951388887</v>
      </c>
      <c r="B1013" s="2" t="s">
        <v>1633</v>
      </c>
      <c r="C1013" s="2" t="s">
        <v>16</v>
      </c>
      <c r="D1013" s="2" t="str">
        <f>"9781462514434"</f>
        <v>9781462514434</v>
      </c>
      <c r="E1013" s="2">
        <v>1675476</v>
      </c>
    </row>
    <row r="1014" spans="1:5" x14ac:dyDescent="0.25">
      <c r="A1014" s="4">
        <v>41994.901967592596</v>
      </c>
      <c r="B1014" s="2" t="s">
        <v>840</v>
      </c>
      <c r="C1014" s="2" t="s">
        <v>119</v>
      </c>
      <c r="D1014" s="2" t="str">
        <f>"9780520950696"</f>
        <v>9780520950696</v>
      </c>
      <c r="E1014" s="2">
        <v>784539</v>
      </c>
    </row>
    <row r="1015" spans="1:5" x14ac:dyDescent="0.25">
      <c r="A1015" s="4">
        <v>42134.809756944444</v>
      </c>
      <c r="B1015" s="2" t="s">
        <v>840</v>
      </c>
      <c r="C1015" s="2" t="s">
        <v>119</v>
      </c>
      <c r="D1015" s="2" t="str">
        <f>"9780520950696"</f>
        <v>9780520950696</v>
      </c>
      <c r="E1015" s="2">
        <v>784539</v>
      </c>
    </row>
    <row r="1016" spans="1:5" x14ac:dyDescent="0.25">
      <c r="A1016" s="4">
        <v>41960.645486111112</v>
      </c>
      <c r="B1016" s="2" t="s">
        <v>840</v>
      </c>
      <c r="C1016" s="2" t="s">
        <v>119</v>
      </c>
      <c r="D1016" s="2" t="str">
        <f>"9780520950696"</f>
        <v>9780520950696</v>
      </c>
      <c r="E1016" s="2">
        <v>784539</v>
      </c>
    </row>
    <row r="1017" spans="1:5" x14ac:dyDescent="0.25">
      <c r="A1017" s="4">
        <v>41899.768182870372</v>
      </c>
      <c r="B1017" s="2" t="s">
        <v>840</v>
      </c>
      <c r="C1017" s="2" t="s">
        <v>119</v>
      </c>
      <c r="D1017" s="2" t="str">
        <f>"9780520950696"</f>
        <v>9780520950696</v>
      </c>
      <c r="E1017" s="2">
        <v>784539</v>
      </c>
    </row>
    <row r="1018" spans="1:5" x14ac:dyDescent="0.25">
      <c r="A1018" s="4">
        <v>41994.901909722219</v>
      </c>
      <c r="B1018" s="2" t="s">
        <v>999</v>
      </c>
      <c r="C1018" s="2" t="s">
        <v>119</v>
      </c>
      <c r="D1018" s="2" t="str">
        <f>"9780520924222"</f>
        <v>9780520924222</v>
      </c>
      <c r="E1018" s="2">
        <v>224311</v>
      </c>
    </row>
    <row r="1019" spans="1:5" x14ac:dyDescent="0.25">
      <c r="A1019" s="4">
        <v>41994.892893518518</v>
      </c>
      <c r="B1019" s="2" t="s">
        <v>1773</v>
      </c>
      <c r="C1019" s="2" t="s">
        <v>16</v>
      </c>
      <c r="D1019" s="2" t="str">
        <f>"9781606231593"</f>
        <v>9781606231593</v>
      </c>
      <c r="E1019" s="2">
        <v>362550</v>
      </c>
    </row>
    <row r="1020" spans="1:5" x14ac:dyDescent="0.25">
      <c r="A1020" s="4">
        <v>41922.389652777776</v>
      </c>
      <c r="B1020" s="2" t="s">
        <v>3322</v>
      </c>
      <c r="C1020" s="2" t="s">
        <v>26</v>
      </c>
      <c r="D1020" s="2" t="str">
        <f>"9781444310443"</f>
        <v>9781444310443</v>
      </c>
      <c r="E1020" s="2">
        <v>437501</v>
      </c>
    </row>
    <row r="1021" spans="1:5" x14ac:dyDescent="0.25">
      <c r="A1021" s="4">
        <v>41910.617615740739</v>
      </c>
      <c r="B1021" s="2" t="s">
        <v>3620</v>
      </c>
      <c r="C1021" s="2" t="s">
        <v>5</v>
      </c>
      <c r="D1021" s="2" t="str">
        <f>"9780857004857"</f>
        <v>9780857004857</v>
      </c>
      <c r="E1021" s="2">
        <v>1037293</v>
      </c>
    </row>
    <row r="1022" spans="1:5" x14ac:dyDescent="0.25">
      <c r="A1022" s="4">
        <v>41994.90556712963</v>
      </c>
      <c r="B1022" s="2" t="s">
        <v>619</v>
      </c>
      <c r="C1022" s="2" t="s">
        <v>424</v>
      </c>
      <c r="D1022" s="2" t="str">
        <f>"9780807877128"</f>
        <v>9780807877128</v>
      </c>
      <c r="E1022" s="2">
        <v>413290</v>
      </c>
    </row>
    <row r="1023" spans="1:5" x14ac:dyDescent="0.25">
      <c r="A1023" s="4">
        <v>43207.449363425927</v>
      </c>
      <c r="B1023" s="2" t="s">
        <v>49</v>
      </c>
      <c r="C1023" s="2" t="s">
        <v>50</v>
      </c>
      <c r="D1023" s="2" t="str">
        <f>"9783954899975"</f>
        <v>9783954899975</v>
      </c>
      <c r="E1023" s="2">
        <v>4742413</v>
      </c>
    </row>
    <row r="1024" spans="1:5" x14ac:dyDescent="0.25">
      <c r="A1024" s="4">
        <v>41994.896122685182</v>
      </c>
      <c r="B1024" s="2" t="s">
        <v>1560</v>
      </c>
      <c r="C1024" s="2" t="s">
        <v>28</v>
      </c>
      <c r="D1024" s="2" t="str">
        <f>"9780253005168"</f>
        <v>9780253005168</v>
      </c>
      <c r="E1024" s="2">
        <v>670283</v>
      </c>
    </row>
    <row r="1025" spans="1:5" x14ac:dyDescent="0.25">
      <c r="A1025" s="4">
        <v>41994.908206018517</v>
      </c>
      <c r="B1025" s="2" t="s">
        <v>299</v>
      </c>
      <c r="C1025" s="2" t="s">
        <v>26</v>
      </c>
      <c r="D1025" s="2" t="str">
        <f>"9780857080004"</f>
        <v>9780857080004</v>
      </c>
      <c r="E1025" s="2">
        <v>624780</v>
      </c>
    </row>
    <row r="1026" spans="1:5" x14ac:dyDescent="0.25">
      <c r="A1026" s="4">
        <v>41912.576770833337</v>
      </c>
      <c r="B1026" s="2" t="s">
        <v>3560</v>
      </c>
      <c r="C1026" s="2" t="s">
        <v>119</v>
      </c>
      <c r="D1026" s="2" t="str">
        <f>"9780520956834"</f>
        <v>9780520956834</v>
      </c>
      <c r="E1026" s="2">
        <v>1337907</v>
      </c>
    </row>
    <row r="1027" spans="1:5" x14ac:dyDescent="0.25">
      <c r="A1027" s="4">
        <v>41994.896145833336</v>
      </c>
      <c r="B1027" s="2" t="s">
        <v>1507</v>
      </c>
      <c r="C1027" s="2" t="s">
        <v>28</v>
      </c>
      <c r="D1027" s="2" t="str">
        <f>"9780253007124"</f>
        <v>9780253007124</v>
      </c>
      <c r="E1027" s="2">
        <v>816875</v>
      </c>
    </row>
    <row r="1028" spans="1:5" x14ac:dyDescent="0.25">
      <c r="A1028" s="4">
        <v>41994.878750000003</v>
      </c>
      <c r="B1028" s="2" t="s">
        <v>2214</v>
      </c>
      <c r="C1028" s="2" t="s">
        <v>2170</v>
      </c>
      <c r="D1028" s="2" t="str">
        <f>"9781848133693"</f>
        <v>9781848133693</v>
      </c>
      <c r="E1028" s="2">
        <v>435193</v>
      </c>
    </row>
    <row r="1029" spans="1:5" x14ac:dyDescent="0.25">
      <c r="A1029" s="4">
        <v>41994.901967592596</v>
      </c>
      <c r="B1029" s="2" t="s">
        <v>805</v>
      </c>
      <c r="C1029" s="2" t="s">
        <v>119</v>
      </c>
      <c r="D1029" s="2" t="str">
        <f>"9780520952034"</f>
        <v>9780520952034</v>
      </c>
      <c r="E1029" s="2">
        <v>847475</v>
      </c>
    </row>
    <row r="1030" spans="1:5" x14ac:dyDescent="0.25">
      <c r="A1030" s="4">
        <v>41994.90824074074</v>
      </c>
      <c r="B1030" s="2" t="s">
        <v>180</v>
      </c>
      <c r="C1030" s="2" t="s">
        <v>26</v>
      </c>
      <c r="D1030" s="2" t="str">
        <f>"9781119998433"</f>
        <v>9781119998433</v>
      </c>
      <c r="E1030" s="2">
        <v>819243</v>
      </c>
    </row>
    <row r="1031" spans="1:5" x14ac:dyDescent="0.25">
      <c r="A1031" s="4">
        <v>41994.905624999999</v>
      </c>
      <c r="B1031" s="2" t="s">
        <v>450</v>
      </c>
      <c r="C1031" s="2" t="s">
        <v>96</v>
      </c>
      <c r="D1031" s="2" t="str">
        <f>"9781469612621"</f>
        <v>9781469612621</v>
      </c>
      <c r="E1031" s="2">
        <v>1663512</v>
      </c>
    </row>
    <row r="1032" spans="1:5" x14ac:dyDescent="0.25">
      <c r="A1032" s="4">
        <v>41994.885057870371</v>
      </c>
      <c r="B1032" s="2" t="s">
        <v>1961</v>
      </c>
      <c r="C1032" s="2" t="s">
        <v>18</v>
      </c>
      <c r="D1032" s="2" t="str">
        <f>"9781472530981"</f>
        <v>9781472530981</v>
      </c>
      <c r="E1032" s="2">
        <v>1637115</v>
      </c>
    </row>
    <row r="1033" spans="1:5" x14ac:dyDescent="0.25">
      <c r="A1033" s="4">
        <v>41918.704293981478</v>
      </c>
      <c r="B1033" s="2" t="s">
        <v>3422</v>
      </c>
      <c r="C1033" s="2" t="s">
        <v>2170</v>
      </c>
      <c r="D1033" s="2" t="str">
        <f>"9781780329789"</f>
        <v>9781780329789</v>
      </c>
      <c r="E1033" s="2">
        <v>1644031</v>
      </c>
    </row>
    <row r="1034" spans="1:5" x14ac:dyDescent="0.25">
      <c r="A1034" s="4">
        <v>41994.884988425925</v>
      </c>
      <c r="B1034" s="2" t="s">
        <v>2114</v>
      </c>
      <c r="C1034" s="2" t="s">
        <v>18</v>
      </c>
      <c r="D1034" s="2" t="str">
        <f>"9781441174604"</f>
        <v>9781441174604</v>
      </c>
      <c r="E1034" s="2">
        <v>602003</v>
      </c>
    </row>
    <row r="1035" spans="1:5" x14ac:dyDescent="0.25">
      <c r="A1035" s="4">
        <v>41994.905590277776</v>
      </c>
      <c r="B1035" s="2" t="s">
        <v>553</v>
      </c>
      <c r="C1035" s="2" t="s">
        <v>96</v>
      </c>
      <c r="D1035" s="2" t="str">
        <f>"9780807899625"</f>
        <v>9780807899625</v>
      </c>
      <c r="E1035" s="2">
        <v>732140</v>
      </c>
    </row>
    <row r="1036" spans="1:5" x14ac:dyDescent="0.25">
      <c r="A1036" s="4">
        <v>41994.908159722225</v>
      </c>
      <c r="B1036" s="2" t="s">
        <v>401</v>
      </c>
      <c r="C1036" s="2" t="s">
        <v>160</v>
      </c>
      <c r="D1036" s="2" t="str">
        <f>"9780470016909"</f>
        <v>9780470016909</v>
      </c>
      <c r="E1036" s="2">
        <v>239450</v>
      </c>
    </row>
    <row r="1037" spans="1:5" x14ac:dyDescent="0.25">
      <c r="A1037" s="4">
        <v>41920.447858796295</v>
      </c>
      <c r="B1037" s="2" t="s">
        <v>3378</v>
      </c>
      <c r="C1037" s="2" t="s">
        <v>7</v>
      </c>
      <c r="D1037" s="2" t="str">
        <f>"9781452263120"</f>
        <v>9781452263120</v>
      </c>
      <c r="E1037" s="2">
        <v>996512</v>
      </c>
    </row>
    <row r="1038" spans="1:5" x14ac:dyDescent="0.25">
      <c r="A1038" s="4">
        <v>41994.899097222224</v>
      </c>
      <c r="B1038" s="2" t="s">
        <v>1268</v>
      </c>
      <c r="C1038" s="2" t="s">
        <v>63</v>
      </c>
      <c r="D1038" s="2" t="str">
        <f>"9781400841233"</f>
        <v>9781400841233</v>
      </c>
      <c r="E1038" s="2">
        <v>781789</v>
      </c>
    </row>
    <row r="1039" spans="1:5" x14ac:dyDescent="0.25">
      <c r="A1039" s="4">
        <v>41994.899155092593</v>
      </c>
      <c r="B1039" s="2" t="s">
        <v>1052</v>
      </c>
      <c r="C1039" s="2" t="s">
        <v>63</v>
      </c>
      <c r="D1039" s="2" t="str">
        <f>"9781400852703"</f>
        <v>9781400852703</v>
      </c>
      <c r="E1039" s="2">
        <v>1729560</v>
      </c>
    </row>
    <row r="1040" spans="1:5" x14ac:dyDescent="0.25">
      <c r="A1040" s="4">
        <v>41976.791539351849</v>
      </c>
      <c r="B1040" s="2" t="s">
        <v>2634</v>
      </c>
      <c r="C1040" s="2" t="s">
        <v>63</v>
      </c>
      <c r="D1040" s="2" t="str">
        <f>"9781400836253"</f>
        <v>9781400836253</v>
      </c>
      <c r="E1040" s="2">
        <v>590822</v>
      </c>
    </row>
    <row r="1041" spans="1:5" x14ac:dyDescent="0.25">
      <c r="A1041" s="4">
        <v>41982.883391203701</v>
      </c>
      <c r="B1041" s="2" t="s">
        <v>1010</v>
      </c>
      <c r="C1041" s="2" t="s">
        <v>160</v>
      </c>
      <c r="D1041" s="2" t="str">
        <f>"9780764577789"</f>
        <v>9780764577789</v>
      </c>
      <c r="E1041" s="2">
        <v>194331</v>
      </c>
    </row>
    <row r="1042" spans="1:5" x14ac:dyDescent="0.25">
      <c r="A1042" s="4">
        <v>41994.899108796293</v>
      </c>
      <c r="B1042" s="2" t="s">
        <v>1203</v>
      </c>
      <c r="C1042" s="2" t="s">
        <v>63</v>
      </c>
      <c r="D1042" s="2" t="str">
        <f>"9781400838356"</f>
        <v>9781400838356</v>
      </c>
      <c r="E1042" s="2">
        <v>1043707</v>
      </c>
    </row>
    <row r="1043" spans="1:5" x14ac:dyDescent="0.25">
      <c r="A1043" s="4">
        <v>41994.899039351854</v>
      </c>
      <c r="B1043" s="2" t="s">
        <v>1430</v>
      </c>
      <c r="C1043" s="2" t="s">
        <v>63</v>
      </c>
      <c r="D1043" s="2" t="str">
        <f>"9781400826872"</f>
        <v>9781400826872</v>
      </c>
      <c r="E1043" s="2">
        <v>445457</v>
      </c>
    </row>
    <row r="1044" spans="1:5" x14ac:dyDescent="0.25">
      <c r="A1044" s="4">
        <v>41924.707476851851</v>
      </c>
      <c r="B1044" s="2" t="s">
        <v>3292</v>
      </c>
      <c r="C1044" s="2" t="s">
        <v>18</v>
      </c>
      <c r="D1044" s="2" t="str">
        <f>"9781441121769"</f>
        <v>9781441121769</v>
      </c>
      <c r="E1044" s="2">
        <v>1220334</v>
      </c>
    </row>
    <row r="1045" spans="1:5" x14ac:dyDescent="0.25">
      <c r="A1045" s="4">
        <v>41994.885011574072</v>
      </c>
      <c r="B1045" s="2" t="s">
        <v>2068</v>
      </c>
      <c r="C1045" s="2" t="s">
        <v>18</v>
      </c>
      <c r="D1045" s="2" t="str">
        <f>"9781441179029"</f>
        <v>9781441179029</v>
      </c>
      <c r="E1045" s="2">
        <v>831529</v>
      </c>
    </row>
    <row r="1046" spans="1:5" x14ac:dyDescent="0.25">
      <c r="A1046" s="4">
        <v>41926.87159722222</v>
      </c>
      <c r="B1046" s="2" t="s">
        <v>3234</v>
      </c>
      <c r="C1046" s="2" t="s">
        <v>1934</v>
      </c>
      <c r="D1046" s="2" t="str">
        <f>"9781441108890"</f>
        <v>9781441108890</v>
      </c>
      <c r="E1046" s="2">
        <v>661054</v>
      </c>
    </row>
    <row r="1047" spans="1:5" x14ac:dyDescent="0.25">
      <c r="A1047" s="4">
        <v>41905.661076388889</v>
      </c>
      <c r="B1047" s="2" t="s">
        <v>3738</v>
      </c>
      <c r="C1047" s="2" t="s">
        <v>26</v>
      </c>
      <c r="D1047" s="2" t="str">
        <f>"9780470875438"</f>
        <v>9780470875438</v>
      </c>
      <c r="E1047" s="2">
        <v>547087</v>
      </c>
    </row>
    <row r="1048" spans="1:5" x14ac:dyDescent="0.25">
      <c r="A1048" s="4">
        <v>41975.809108796297</v>
      </c>
      <c r="B1048" s="2" t="s">
        <v>2778</v>
      </c>
      <c r="C1048" s="2" t="s">
        <v>18</v>
      </c>
      <c r="D1048" s="2" t="str">
        <f>"9781441150653"</f>
        <v>9781441150653</v>
      </c>
      <c r="E1048" s="2">
        <v>831539</v>
      </c>
    </row>
    <row r="1049" spans="1:5" x14ac:dyDescent="0.25">
      <c r="A1049" s="4">
        <v>41994.901990740742</v>
      </c>
      <c r="B1049" s="2" t="s">
        <v>732</v>
      </c>
      <c r="C1049" s="2" t="s">
        <v>119</v>
      </c>
      <c r="D1049" s="2" t="str">
        <f>"9780520955103"</f>
        <v>9780520955103</v>
      </c>
      <c r="E1049" s="2">
        <v>1092960</v>
      </c>
    </row>
    <row r="1050" spans="1:5" x14ac:dyDescent="0.25">
      <c r="A1050" s="4">
        <v>41994.901944444442</v>
      </c>
      <c r="B1050" s="2" t="s">
        <v>914</v>
      </c>
      <c r="C1050" s="2" t="s">
        <v>119</v>
      </c>
      <c r="D1050" s="2" t="str">
        <f>"9780520945401"</f>
        <v>9780520945401</v>
      </c>
      <c r="E1050" s="2">
        <v>566764</v>
      </c>
    </row>
    <row r="1051" spans="1:5" x14ac:dyDescent="0.25">
      <c r="A1051" s="4">
        <v>41994.896122685182</v>
      </c>
      <c r="B1051" s="2" t="s">
        <v>1544</v>
      </c>
      <c r="C1051" s="2" t="s">
        <v>28</v>
      </c>
      <c r="D1051" s="2" t="str">
        <f>"9780253000866"</f>
        <v>9780253000866</v>
      </c>
      <c r="E1051" s="2">
        <v>713661</v>
      </c>
    </row>
    <row r="1052" spans="1:5" x14ac:dyDescent="0.25">
      <c r="A1052" s="4">
        <v>41975.882962962962</v>
      </c>
      <c r="B1052" s="2" t="s">
        <v>2760</v>
      </c>
      <c r="C1052" s="2" t="s">
        <v>26</v>
      </c>
      <c r="D1052" s="2" t="str">
        <f>"9780470564417"</f>
        <v>9780470564417</v>
      </c>
      <c r="E1052" s="2">
        <v>468744</v>
      </c>
    </row>
    <row r="1053" spans="1:5" x14ac:dyDescent="0.25">
      <c r="A1053" s="4">
        <v>41975.725613425922</v>
      </c>
      <c r="B1053" s="2" t="s">
        <v>2799</v>
      </c>
      <c r="C1053" s="2" t="s">
        <v>2404</v>
      </c>
      <c r="D1053" s="2" t="str">
        <f>"9780335240739"</f>
        <v>9780335240739</v>
      </c>
      <c r="E1053" s="2">
        <v>480636</v>
      </c>
    </row>
    <row r="1054" spans="1:5" x14ac:dyDescent="0.25">
      <c r="A1054" s="4">
        <v>41974.864988425928</v>
      </c>
      <c r="B1054" s="2" t="s">
        <v>2904</v>
      </c>
      <c r="C1054" s="2" t="s">
        <v>7</v>
      </c>
      <c r="D1054" s="2" t="str">
        <f>"9781452264394"</f>
        <v>9781452264394</v>
      </c>
      <c r="E1054" s="2">
        <v>996754</v>
      </c>
    </row>
    <row r="1055" spans="1:5" x14ac:dyDescent="0.25">
      <c r="A1055" s="4">
        <v>41994.892916666664</v>
      </c>
      <c r="B1055" s="2" t="s">
        <v>1717</v>
      </c>
      <c r="C1055" s="2" t="s">
        <v>16</v>
      </c>
      <c r="D1055" s="2" t="str">
        <f>"9781609182533"</f>
        <v>9781609182533</v>
      </c>
      <c r="E1055" s="2">
        <v>684292</v>
      </c>
    </row>
    <row r="1056" spans="1:5" x14ac:dyDescent="0.25">
      <c r="A1056" s="4">
        <v>41994.908206018517</v>
      </c>
      <c r="B1056" s="2" t="s">
        <v>276</v>
      </c>
      <c r="C1056" s="2" t="s">
        <v>26</v>
      </c>
      <c r="D1056" s="2" t="str">
        <f>"9781118025925"</f>
        <v>9781118025925</v>
      </c>
      <c r="E1056" s="2">
        <v>693208</v>
      </c>
    </row>
    <row r="1057" spans="1:5" x14ac:dyDescent="0.25">
      <c r="A1057" s="4">
        <v>41974.530578703707</v>
      </c>
      <c r="B1057" s="2" t="s">
        <v>2966</v>
      </c>
      <c r="C1057" s="2" t="s">
        <v>2624</v>
      </c>
      <c r="D1057" s="2" t="str">
        <f>"9788132109204"</f>
        <v>9788132109204</v>
      </c>
      <c r="E1057" s="2">
        <v>835829</v>
      </c>
    </row>
    <row r="1058" spans="1:5" x14ac:dyDescent="0.25">
      <c r="A1058" s="4">
        <v>41994.892928240741</v>
      </c>
      <c r="B1058" s="2" t="s">
        <v>1688</v>
      </c>
      <c r="C1058" s="2" t="s">
        <v>16</v>
      </c>
      <c r="D1058" s="2" t="str">
        <f>"9781462504060"</f>
        <v>9781462504060</v>
      </c>
      <c r="E1058" s="2">
        <v>886772</v>
      </c>
    </row>
    <row r="1059" spans="1:5" x14ac:dyDescent="0.25">
      <c r="A1059" s="4">
        <v>41905.263483796298</v>
      </c>
      <c r="B1059" s="2" t="s">
        <v>3754</v>
      </c>
      <c r="C1059" s="2" t="s">
        <v>7</v>
      </c>
      <c r="D1059" s="2" t="str">
        <f>"9781412998222"</f>
        <v>9781412998222</v>
      </c>
      <c r="E1059" s="2">
        <v>996209</v>
      </c>
    </row>
    <row r="1060" spans="1:5" x14ac:dyDescent="0.25">
      <c r="A1060" s="4">
        <v>41885.388518518521</v>
      </c>
      <c r="B1060" s="2" t="s">
        <v>3906</v>
      </c>
      <c r="C1060" s="2" t="s">
        <v>26</v>
      </c>
      <c r="D1060" s="2" t="str">
        <f>"9781444357578"</f>
        <v>9781444357578</v>
      </c>
      <c r="E1060" s="2">
        <v>819376</v>
      </c>
    </row>
    <row r="1061" spans="1:5" x14ac:dyDescent="0.25">
      <c r="A1061" s="4">
        <v>41980.181655092594</v>
      </c>
      <c r="B1061" s="2" t="s">
        <v>2522</v>
      </c>
      <c r="C1061" s="2" t="s">
        <v>205</v>
      </c>
      <c r="D1061" s="2" t="str">
        <f>"9780787982065"</f>
        <v>9780787982065</v>
      </c>
      <c r="E1061" s="2">
        <v>257572</v>
      </c>
    </row>
    <row r="1062" spans="1:5" x14ac:dyDescent="0.25">
      <c r="A1062" s="4">
        <v>41988.444849537038</v>
      </c>
      <c r="B1062" s="2" t="s">
        <v>2290</v>
      </c>
      <c r="C1062" s="2" t="s">
        <v>63</v>
      </c>
      <c r="D1062" s="2" t="str">
        <f>"9781400839827"</f>
        <v>9781400839827</v>
      </c>
      <c r="E1062" s="2">
        <v>744111</v>
      </c>
    </row>
    <row r="1063" spans="1:5" x14ac:dyDescent="0.25">
      <c r="A1063" s="4">
        <v>41988.443067129629</v>
      </c>
      <c r="B1063" s="2" t="s">
        <v>2294</v>
      </c>
      <c r="C1063" s="2" t="s">
        <v>2170</v>
      </c>
      <c r="D1063" s="2" t="str">
        <f>"9781848135048"</f>
        <v>9781848135048</v>
      </c>
      <c r="E1063" s="2">
        <v>474789</v>
      </c>
    </row>
    <row r="1064" spans="1:5" x14ac:dyDescent="0.25">
      <c r="A1064" s="4">
        <v>41994.89912037037</v>
      </c>
      <c r="B1064" s="2" t="s">
        <v>1197</v>
      </c>
      <c r="C1064" s="2" t="s">
        <v>63</v>
      </c>
      <c r="D1064" s="2" t="str">
        <f>"9781400846146"</f>
        <v>9781400846146</v>
      </c>
      <c r="E1064" s="2">
        <v>1084832</v>
      </c>
    </row>
    <row r="1065" spans="1:5" x14ac:dyDescent="0.25">
      <c r="A1065" s="4">
        <v>41978.67119212963</v>
      </c>
      <c r="B1065" s="2" t="s">
        <v>2562</v>
      </c>
      <c r="C1065" s="2" t="s">
        <v>36</v>
      </c>
      <c r="D1065" s="2" t="str">
        <f>"9780786481101"</f>
        <v>9780786481101</v>
      </c>
      <c r="E1065" s="2">
        <v>1813576</v>
      </c>
    </row>
    <row r="1066" spans="1:5" x14ac:dyDescent="0.25">
      <c r="A1066" s="4">
        <v>41994.901979166665</v>
      </c>
      <c r="B1066" s="2" t="s">
        <v>802</v>
      </c>
      <c r="C1066" s="2" t="s">
        <v>119</v>
      </c>
      <c r="D1066" s="2" t="str">
        <f>"9780520951792"</f>
        <v>9780520951792</v>
      </c>
      <c r="E1066" s="2">
        <v>850696</v>
      </c>
    </row>
    <row r="1067" spans="1:5" x14ac:dyDescent="0.25">
      <c r="A1067" s="4">
        <v>43217.314699074072</v>
      </c>
      <c r="B1067" s="2" t="s">
        <v>40</v>
      </c>
      <c r="C1067" s="2" t="s">
        <v>36</v>
      </c>
      <c r="D1067" s="2" t="str">
        <f>"9781476624419"</f>
        <v>9781476624419</v>
      </c>
      <c r="E1067" s="2">
        <v>4515733</v>
      </c>
    </row>
    <row r="1068" spans="1:5" x14ac:dyDescent="0.25">
      <c r="A1068" s="4">
        <v>41892.198819444442</v>
      </c>
      <c r="B1068" s="2" t="s">
        <v>3890</v>
      </c>
      <c r="C1068" s="2" t="s">
        <v>205</v>
      </c>
      <c r="D1068" s="2" t="str">
        <f>"9781118086162"</f>
        <v>9781118086162</v>
      </c>
      <c r="E1068" s="2">
        <v>697625</v>
      </c>
    </row>
    <row r="1069" spans="1:5" x14ac:dyDescent="0.25">
      <c r="A1069" s="4">
        <v>41915.769884259258</v>
      </c>
      <c r="B1069" s="2" t="s">
        <v>3486</v>
      </c>
      <c r="C1069" s="2" t="s">
        <v>205</v>
      </c>
      <c r="D1069" s="2" t="str">
        <f>"9781118118368"</f>
        <v>9781118118368</v>
      </c>
      <c r="E1069" s="2">
        <v>697963</v>
      </c>
    </row>
    <row r="1070" spans="1:5" x14ac:dyDescent="0.25">
      <c r="A1070" s="4">
        <v>41915.600300925929</v>
      </c>
      <c r="B1070" s="2" t="s">
        <v>3494</v>
      </c>
      <c r="C1070" s="2" t="s">
        <v>7</v>
      </c>
      <c r="D1070" s="2" t="str">
        <f>"9781446210208"</f>
        <v>9781446210208</v>
      </c>
      <c r="E1070" s="2">
        <v>689550</v>
      </c>
    </row>
    <row r="1071" spans="1:5" x14ac:dyDescent="0.25">
      <c r="A1071" s="4">
        <v>41907.598402777781</v>
      </c>
      <c r="B1071" s="2" t="s">
        <v>3674</v>
      </c>
      <c r="C1071" s="2" t="s">
        <v>26</v>
      </c>
      <c r="D1071" s="2" t="str">
        <f>"9780470130568"</f>
        <v>9780470130568</v>
      </c>
      <c r="E1071" s="2">
        <v>291447</v>
      </c>
    </row>
    <row r="1072" spans="1:5" x14ac:dyDescent="0.25">
      <c r="A1072" s="4">
        <v>41994.896157407406</v>
      </c>
      <c r="B1072" s="2" t="s">
        <v>1485</v>
      </c>
      <c r="C1072" s="2" t="s">
        <v>28</v>
      </c>
      <c r="D1072" s="2" t="str">
        <f>"9780253008121"</f>
        <v>9780253008121</v>
      </c>
      <c r="E1072" s="2">
        <v>1173322</v>
      </c>
    </row>
    <row r="1073" spans="1:5" x14ac:dyDescent="0.25">
      <c r="A1073" s="4">
        <v>41935.624780092592</v>
      </c>
      <c r="B1073" s="2" t="s">
        <v>3019</v>
      </c>
      <c r="C1073" s="2" t="s">
        <v>2170</v>
      </c>
      <c r="D1073" s="2" t="str">
        <f>"9781848131309"</f>
        <v>9781848131309</v>
      </c>
      <c r="E1073" s="2">
        <v>339211</v>
      </c>
    </row>
    <row r="1074" spans="1:5" x14ac:dyDescent="0.25">
      <c r="A1074" s="4">
        <v>41994.90556712963</v>
      </c>
      <c r="B1074" s="2" t="s">
        <v>613</v>
      </c>
      <c r="C1074" s="2" t="s">
        <v>424</v>
      </c>
      <c r="D1074" s="2" t="str">
        <f>"9780807862704"</f>
        <v>9780807862704</v>
      </c>
      <c r="E1074" s="2">
        <v>413398</v>
      </c>
    </row>
    <row r="1075" spans="1:5" x14ac:dyDescent="0.25">
      <c r="A1075" s="4">
        <v>41978.671342592592</v>
      </c>
      <c r="B1075" s="2" t="s">
        <v>2561</v>
      </c>
      <c r="C1075" s="2" t="s">
        <v>28</v>
      </c>
      <c r="D1075" s="2" t="str">
        <f>"9780253111142"</f>
        <v>9780253111142</v>
      </c>
      <c r="E1075" s="2">
        <v>255642</v>
      </c>
    </row>
    <row r="1076" spans="1:5" x14ac:dyDescent="0.25">
      <c r="A1076" s="4">
        <v>41918.873645833337</v>
      </c>
      <c r="B1076" s="2" t="s">
        <v>3413</v>
      </c>
      <c r="C1076" s="2" t="s">
        <v>63</v>
      </c>
      <c r="D1076" s="2" t="str">
        <f>"9781400821723"</f>
        <v>9781400821723</v>
      </c>
      <c r="E1076" s="2">
        <v>574432</v>
      </c>
    </row>
    <row r="1077" spans="1:5" x14ac:dyDescent="0.25">
      <c r="A1077" s="4">
        <v>41975.475185185183</v>
      </c>
      <c r="B1077" s="2" t="s">
        <v>2844</v>
      </c>
      <c r="C1077" s="2" t="s">
        <v>119</v>
      </c>
      <c r="D1077" s="2" t="str">
        <f>"9780520919341"</f>
        <v>9780520919341</v>
      </c>
      <c r="E1077" s="2">
        <v>227293</v>
      </c>
    </row>
    <row r="1078" spans="1:5" x14ac:dyDescent="0.25">
      <c r="A1078" s="4">
        <v>41994.892893518518</v>
      </c>
      <c r="B1078" s="2" t="s">
        <v>1765</v>
      </c>
      <c r="C1078" s="2" t="s">
        <v>16</v>
      </c>
      <c r="D1078" s="2" t="str">
        <f>"9781606233016"</f>
        <v>9781606233016</v>
      </c>
      <c r="E1078" s="2">
        <v>443686</v>
      </c>
    </row>
    <row r="1079" spans="1:5" x14ac:dyDescent="0.25">
      <c r="A1079" s="4">
        <v>41904.418402777781</v>
      </c>
      <c r="B1079" s="2" t="s">
        <v>3781</v>
      </c>
      <c r="C1079" s="2" t="s">
        <v>26</v>
      </c>
      <c r="D1079" s="2" t="str">
        <f>"9781118001578"</f>
        <v>9781118001578</v>
      </c>
      <c r="E1079" s="2">
        <v>675065</v>
      </c>
    </row>
    <row r="1080" spans="1:5" x14ac:dyDescent="0.25">
      <c r="A1080" s="4">
        <v>41982.038344907407</v>
      </c>
      <c r="B1080" s="2" t="s">
        <v>2456</v>
      </c>
      <c r="C1080" s="2" t="s">
        <v>36</v>
      </c>
      <c r="D1080" s="2" t="str">
        <f>"9781476618647"</f>
        <v>9781476618647</v>
      </c>
      <c r="E1080" s="2">
        <v>1819261</v>
      </c>
    </row>
    <row r="1081" spans="1:5" x14ac:dyDescent="0.25">
      <c r="A1081" s="4">
        <v>41994.901979166665</v>
      </c>
      <c r="B1081" s="2" t="s">
        <v>766</v>
      </c>
      <c r="C1081" s="2" t="s">
        <v>119</v>
      </c>
      <c r="D1081" s="2" t="str">
        <f>"9780520915053"</f>
        <v>9780520915053</v>
      </c>
      <c r="E1081" s="2">
        <v>922929</v>
      </c>
    </row>
    <row r="1082" spans="1:5" x14ac:dyDescent="0.25">
      <c r="A1082" s="4">
        <v>41994.901967592596</v>
      </c>
      <c r="B1082" s="2" t="s">
        <v>827</v>
      </c>
      <c r="C1082" s="2" t="s">
        <v>119</v>
      </c>
      <c r="D1082" s="2" t="str">
        <f>"9780520925793"</f>
        <v>9780520925793</v>
      </c>
      <c r="E1082" s="2">
        <v>837162</v>
      </c>
    </row>
    <row r="1083" spans="1:5" x14ac:dyDescent="0.25">
      <c r="A1083" s="4">
        <v>41994.892939814818</v>
      </c>
      <c r="B1083" s="2" t="s">
        <v>1664</v>
      </c>
      <c r="C1083" s="2" t="s">
        <v>16</v>
      </c>
      <c r="D1083" s="2" t="str">
        <f>"9781462508358"</f>
        <v>9781462508358</v>
      </c>
      <c r="E1083" s="2">
        <v>1112333</v>
      </c>
    </row>
    <row r="1084" spans="1:5" x14ac:dyDescent="0.25">
      <c r="A1084" s="4">
        <v>41975.675625000003</v>
      </c>
      <c r="B1084" s="2" t="s">
        <v>2806</v>
      </c>
      <c r="C1084" s="2" t="s">
        <v>63</v>
      </c>
      <c r="D1084" s="2" t="str">
        <f>"9781400829941"</f>
        <v>9781400829941</v>
      </c>
      <c r="E1084" s="2">
        <v>457749</v>
      </c>
    </row>
    <row r="1085" spans="1:5" x14ac:dyDescent="0.25">
      <c r="A1085" s="4">
        <v>41994.90824074074</v>
      </c>
      <c r="B1085" s="2" t="s">
        <v>161</v>
      </c>
      <c r="C1085" s="2" t="s">
        <v>160</v>
      </c>
      <c r="D1085" s="2" t="str">
        <f>"9781444357950"</f>
        <v>9781444357950</v>
      </c>
      <c r="E1085" s="2">
        <v>822673</v>
      </c>
    </row>
    <row r="1086" spans="1:5" x14ac:dyDescent="0.25">
      <c r="A1086" s="4">
        <v>41930.572337962964</v>
      </c>
      <c r="B1086" s="2" t="s">
        <v>3154</v>
      </c>
      <c r="C1086" s="2" t="s">
        <v>26</v>
      </c>
      <c r="D1086" s="2" t="str">
        <f>"9780470605370"</f>
        <v>9780470605370</v>
      </c>
      <c r="E1086" s="2">
        <v>469152</v>
      </c>
    </row>
    <row r="1087" spans="1:5" x14ac:dyDescent="0.25">
      <c r="A1087" s="4">
        <v>41934.370682870373</v>
      </c>
      <c r="B1087" s="2" t="s">
        <v>3067</v>
      </c>
      <c r="C1087" s="2" t="s">
        <v>63</v>
      </c>
      <c r="D1087" s="2" t="str">
        <f>"9781400840090"</f>
        <v>9781400840090</v>
      </c>
      <c r="E1087" s="2">
        <v>781787</v>
      </c>
    </row>
    <row r="1088" spans="1:5" x14ac:dyDescent="0.25">
      <c r="A1088" s="4">
        <v>41976.528240740743</v>
      </c>
      <c r="B1088" s="2" t="s">
        <v>2692</v>
      </c>
      <c r="C1088" s="2" t="s">
        <v>119</v>
      </c>
      <c r="D1088" s="2" t="str">
        <f>"9780520957954"</f>
        <v>9780520957954</v>
      </c>
      <c r="E1088" s="2">
        <v>1639078</v>
      </c>
    </row>
    <row r="1089" spans="1:5" x14ac:dyDescent="0.25">
      <c r="A1089" s="4">
        <v>41982.673564814817</v>
      </c>
      <c r="B1089" s="2" t="s">
        <v>2428</v>
      </c>
      <c r="C1089" s="2" t="s">
        <v>63</v>
      </c>
      <c r="D1089" s="2" t="str">
        <f>"9781400839926"</f>
        <v>9781400839926</v>
      </c>
      <c r="E1089" s="2">
        <v>767225</v>
      </c>
    </row>
    <row r="1090" spans="1:5" x14ac:dyDescent="0.25">
      <c r="A1090" s="4">
        <v>41980.566921296297</v>
      </c>
      <c r="B1090" s="2" t="s">
        <v>2511</v>
      </c>
      <c r="C1090" s="2" t="s">
        <v>7</v>
      </c>
      <c r="D1090" s="2" t="str">
        <f>"9781412990806"</f>
        <v>9781412990806</v>
      </c>
      <c r="E1090" s="2">
        <v>996572</v>
      </c>
    </row>
    <row r="1091" spans="1:5" x14ac:dyDescent="0.25">
      <c r="A1091" s="4">
        <v>41976.919259259259</v>
      </c>
      <c r="B1091" s="2" t="s">
        <v>2629</v>
      </c>
      <c r="C1091" s="2" t="s">
        <v>36</v>
      </c>
      <c r="D1091" s="2" t="str">
        <f>"9780786456758"</f>
        <v>9780786456758</v>
      </c>
      <c r="E1091" s="2">
        <v>510251</v>
      </c>
    </row>
    <row r="1092" spans="1:5" x14ac:dyDescent="0.25">
      <c r="A1092" s="4">
        <v>42878.527060185188</v>
      </c>
      <c r="B1092" s="2" t="s">
        <v>151</v>
      </c>
      <c r="C1092" s="2" t="s">
        <v>7</v>
      </c>
      <c r="D1092" s="2" t="str">
        <f>"9781446271940"</f>
        <v>9781446271940</v>
      </c>
      <c r="E1092" s="2">
        <v>4714105</v>
      </c>
    </row>
    <row r="1093" spans="1:5" x14ac:dyDescent="0.25">
      <c r="A1093" s="4">
        <v>41994.901967592596</v>
      </c>
      <c r="B1093" s="2" t="s">
        <v>838</v>
      </c>
      <c r="C1093" s="2" t="s">
        <v>119</v>
      </c>
      <c r="D1093" s="2" t="str">
        <f>"9780520948419"</f>
        <v>9780520948419</v>
      </c>
      <c r="E1093" s="2">
        <v>785213</v>
      </c>
    </row>
    <row r="1094" spans="1:5" x14ac:dyDescent="0.25">
      <c r="A1094" s="4">
        <v>41905.32984953704</v>
      </c>
      <c r="B1094" s="2" t="s">
        <v>3753</v>
      </c>
      <c r="C1094" s="2" t="s">
        <v>26</v>
      </c>
      <c r="D1094" s="2" t="str">
        <f>"9781118062319"</f>
        <v>9781118062319</v>
      </c>
      <c r="E1094" s="2">
        <v>697914</v>
      </c>
    </row>
    <row r="1095" spans="1:5" x14ac:dyDescent="0.25">
      <c r="A1095" s="4">
        <v>41994.90824074074</v>
      </c>
      <c r="B1095" s="2" t="s">
        <v>191</v>
      </c>
      <c r="C1095" s="2" t="s">
        <v>26</v>
      </c>
      <c r="D1095" s="2" t="str">
        <f>"9781118059340"</f>
        <v>9781118059340</v>
      </c>
      <c r="E1095" s="2">
        <v>818716</v>
      </c>
    </row>
    <row r="1096" spans="1:5" x14ac:dyDescent="0.25">
      <c r="A1096" s="4">
        <v>41994.884965277779</v>
      </c>
      <c r="B1096" s="2" t="s">
        <v>2162</v>
      </c>
      <c r="C1096" s="2" t="s">
        <v>18</v>
      </c>
      <c r="D1096" s="2" t="str">
        <f>"9780826443090"</f>
        <v>9780826443090</v>
      </c>
      <c r="E1096" s="2">
        <v>436224</v>
      </c>
    </row>
    <row r="1097" spans="1:5" x14ac:dyDescent="0.25">
      <c r="A1097" s="4">
        <v>41994.885011574072</v>
      </c>
      <c r="B1097" s="2" t="s">
        <v>2077</v>
      </c>
      <c r="C1097" s="2" t="s">
        <v>18</v>
      </c>
      <c r="D1097" s="2" t="str">
        <f>"9781441142757"</f>
        <v>9781441142757</v>
      </c>
      <c r="E1097" s="2">
        <v>773207</v>
      </c>
    </row>
    <row r="1098" spans="1:5" x14ac:dyDescent="0.25">
      <c r="A1098" s="4">
        <v>41917.97347222222</v>
      </c>
      <c r="B1098" s="2" t="s">
        <v>3447</v>
      </c>
      <c r="C1098" s="2" t="s">
        <v>26</v>
      </c>
      <c r="D1098" s="2" t="str">
        <f>"9780470635575"</f>
        <v>9780470635575</v>
      </c>
      <c r="E1098" s="2">
        <v>530027</v>
      </c>
    </row>
    <row r="1099" spans="1:5" x14ac:dyDescent="0.25">
      <c r="A1099" s="4">
        <v>41988.674363425926</v>
      </c>
      <c r="B1099" s="2" t="s">
        <v>2276</v>
      </c>
      <c r="C1099" s="2" t="s">
        <v>26</v>
      </c>
      <c r="D1099" s="2" t="str">
        <f>"9781118047323"</f>
        <v>9781118047323</v>
      </c>
      <c r="E1099" s="2">
        <v>661470</v>
      </c>
    </row>
    <row r="1100" spans="1:5" x14ac:dyDescent="0.25">
      <c r="A1100" s="4">
        <v>41994.889918981484</v>
      </c>
      <c r="B1100" s="2" t="s">
        <v>1837</v>
      </c>
      <c r="C1100" s="2" t="s">
        <v>72</v>
      </c>
      <c r="D1100" s="2" t="str">
        <f>"9780748664382"</f>
        <v>9780748664382</v>
      </c>
      <c r="E1100" s="2">
        <v>1126576</v>
      </c>
    </row>
    <row r="1101" spans="1:5" x14ac:dyDescent="0.25">
      <c r="A1101" s="4">
        <v>41994.908217592594</v>
      </c>
      <c r="B1101" s="2" t="s">
        <v>258</v>
      </c>
      <c r="C1101" s="2" t="s">
        <v>26</v>
      </c>
      <c r="D1101" s="2" t="str">
        <f>"9781444396485"</f>
        <v>9781444396485</v>
      </c>
      <c r="E1101" s="2">
        <v>693794</v>
      </c>
    </row>
    <row r="1102" spans="1:5" x14ac:dyDescent="0.25">
      <c r="A1102" s="4">
        <v>41928.423206018517</v>
      </c>
      <c r="B1102" s="2" t="s">
        <v>3203</v>
      </c>
      <c r="C1102" s="2" t="s">
        <v>26</v>
      </c>
      <c r="D1102" s="2" t="str">
        <f>"9780470623596"</f>
        <v>9780470623596</v>
      </c>
      <c r="E1102" s="2">
        <v>479924</v>
      </c>
    </row>
    <row r="1103" spans="1:5" x14ac:dyDescent="0.25">
      <c r="A1103" s="4">
        <v>41994.908206018517</v>
      </c>
      <c r="B1103" s="2" t="s">
        <v>295</v>
      </c>
      <c r="C1103" s="2" t="s">
        <v>26</v>
      </c>
      <c r="D1103" s="2" t="str">
        <f>"9781118035061"</f>
        <v>9781118035061</v>
      </c>
      <c r="E1103" s="2">
        <v>644897</v>
      </c>
    </row>
    <row r="1104" spans="1:5" x14ac:dyDescent="0.25">
      <c r="A1104" s="4">
        <v>41994.899085648147</v>
      </c>
      <c r="B1104" s="2" t="s">
        <v>1311</v>
      </c>
      <c r="C1104" s="2" t="s">
        <v>63</v>
      </c>
      <c r="D1104" s="2" t="str">
        <f>"9781400836383"</f>
        <v>9781400836383</v>
      </c>
      <c r="E1104" s="2">
        <v>681317</v>
      </c>
    </row>
    <row r="1105" spans="1:5" x14ac:dyDescent="0.25">
      <c r="A1105" s="4">
        <v>41994.899050925924</v>
      </c>
      <c r="B1105" s="2" t="s">
        <v>1311</v>
      </c>
      <c r="C1105" s="2" t="s">
        <v>63</v>
      </c>
      <c r="D1105" s="2" t="str">
        <f>"9781400824021"</f>
        <v>9781400824021</v>
      </c>
      <c r="E1105" s="2">
        <v>457817</v>
      </c>
    </row>
    <row r="1106" spans="1:5" x14ac:dyDescent="0.25">
      <c r="A1106" s="4">
        <v>42878.565671296295</v>
      </c>
      <c r="B1106" s="2" t="s">
        <v>143</v>
      </c>
      <c r="C1106" s="2" t="s">
        <v>5</v>
      </c>
      <c r="D1106" s="2" t="str">
        <f>"9781784502911"</f>
        <v>9781784502911</v>
      </c>
      <c r="E1106" s="2">
        <v>4749751</v>
      </c>
    </row>
    <row r="1107" spans="1:5" x14ac:dyDescent="0.25">
      <c r="A1107" s="4">
        <v>41994.892928240741</v>
      </c>
      <c r="B1107" s="2" t="s">
        <v>1683</v>
      </c>
      <c r="C1107" s="2" t="s">
        <v>16</v>
      </c>
      <c r="D1107" s="2" t="str">
        <f>"9781462504909"</f>
        <v>9781462504909</v>
      </c>
      <c r="E1107" s="2">
        <v>917255</v>
      </c>
    </row>
    <row r="1108" spans="1:5" x14ac:dyDescent="0.25">
      <c r="A1108" s="4">
        <v>41994.899085648147</v>
      </c>
      <c r="B1108" s="2" t="s">
        <v>1279</v>
      </c>
      <c r="C1108" s="2" t="s">
        <v>63</v>
      </c>
      <c r="D1108" s="2" t="str">
        <f>"9781400839698"</f>
        <v>9781400839698</v>
      </c>
      <c r="E1108" s="2">
        <v>744107</v>
      </c>
    </row>
    <row r="1109" spans="1:5" x14ac:dyDescent="0.25">
      <c r="A1109" s="4">
        <v>41994.908159722225</v>
      </c>
      <c r="B1109" s="2" t="s">
        <v>399</v>
      </c>
      <c r="C1109" s="2" t="s">
        <v>26</v>
      </c>
      <c r="D1109" s="2" t="str">
        <f>"9780471763567"</f>
        <v>9780471763567</v>
      </c>
      <c r="E1109" s="2">
        <v>242877</v>
      </c>
    </row>
    <row r="1110" spans="1:5" x14ac:dyDescent="0.25">
      <c r="A1110" s="4">
        <v>41978.436851851853</v>
      </c>
      <c r="B1110" s="2" t="s">
        <v>2576</v>
      </c>
      <c r="C1110" s="2" t="s">
        <v>63</v>
      </c>
      <c r="D1110" s="2" t="str">
        <f>"9781400822997"</f>
        <v>9781400822997</v>
      </c>
      <c r="E1110" s="2">
        <v>537681</v>
      </c>
    </row>
    <row r="1111" spans="1:5" x14ac:dyDescent="0.25">
      <c r="A1111" s="4">
        <v>41985.777048611111</v>
      </c>
      <c r="B1111" s="2" t="s">
        <v>2328</v>
      </c>
      <c r="C1111" s="2" t="s">
        <v>26</v>
      </c>
      <c r="D1111" s="2" t="str">
        <f>"9781405172288"</f>
        <v>9781405172288</v>
      </c>
      <c r="E1111" s="2">
        <v>284145</v>
      </c>
    </row>
    <row r="1112" spans="1:5" x14ac:dyDescent="0.25">
      <c r="A1112" s="4">
        <v>41979.37400462963</v>
      </c>
      <c r="B1112" s="2" t="s">
        <v>2547</v>
      </c>
      <c r="C1112" s="2" t="s">
        <v>26</v>
      </c>
      <c r="D1112" s="2" t="str">
        <f>"9780787981839"</f>
        <v>9780787981839</v>
      </c>
      <c r="E1112" s="2">
        <v>239440</v>
      </c>
    </row>
    <row r="1113" spans="1:5" x14ac:dyDescent="0.25">
      <c r="A1113" s="4">
        <v>41913.392268518517</v>
      </c>
      <c r="B1113" s="2" t="s">
        <v>2547</v>
      </c>
      <c r="C1113" s="2" t="s">
        <v>160</v>
      </c>
      <c r="D1113" s="2" t="str">
        <f>"9780470567760"</f>
        <v>9780470567760</v>
      </c>
      <c r="E1113" s="2">
        <v>484870</v>
      </c>
    </row>
    <row r="1114" spans="1:5" x14ac:dyDescent="0.25">
      <c r="A1114" s="4">
        <v>41987.795752314814</v>
      </c>
      <c r="B1114" s="2" t="s">
        <v>2308</v>
      </c>
      <c r="C1114" s="2" t="s">
        <v>26</v>
      </c>
      <c r="D1114" s="2" t="str">
        <f>"9781118095645"</f>
        <v>9781118095645</v>
      </c>
      <c r="E1114" s="2">
        <v>697921</v>
      </c>
    </row>
    <row r="1115" spans="1:5" x14ac:dyDescent="0.25">
      <c r="A1115" s="4">
        <v>41986.333136574074</v>
      </c>
      <c r="B1115" s="2" t="s">
        <v>2326</v>
      </c>
      <c r="C1115" s="2" t="s">
        <v>119</v>
      </c>
      <c r="D1115" s="2" t="str">
        <f>"9780520932012"</f>
        <v>9780520932012</v>
      </c>
      <c r="E1115" s="2">
        <v>915102</v>
      </c>
    </row>
    <row r="1116" spans="1:5" x14ac:dyDescent="0.25">
      <c r="A1116" s="4">
        <v>41994.908206018517</v>
      </c>
      <c r="B1116" s="2" t="s">
        <v>284</v>
      </c>
      <c r="C1116" s="2" t="s">
        <v>26</v>
      </c>
      <c r="D1116" s="2" t="str">
        <f>"9781444397802"</f>
        <v>9781444397802</v>
      </c>
      <c r="E1116" s="2">
        <v>661736</v>
      </c>
    </row>
    <row r="1117" spans="1:5" x14ac:dyDescent="0.25">
      <c r="A1117" s="4">
        <v>41905.427303240744</v>
      </c>
      <c r="B1117" s="2" t="s">
        <v>3749</v>
      </c>
      <c r="C1117" s="2" t="s">
        <v>160</v>
      </c>
      <c r="D1117" s="2" t="str">
        <f>"9780470579633"</f>
        <v>9780470579633</v>
      </c>
      <c r="E1117" s="2">
        <v>479839</v>
      </c>
    </row>
    <row r="1118" spans="1:5" x14ac:dyDescent="0.25">
      <c r="A1118" s="4">
        <v>41882.510879629626</v>
      </c>
      <c r="B1118" s="2" t="s">
        <v>3918</v>
      </c>
      <c r="C1118" s="2" t="s">
        <v>160</v>
      </c>
      <c r="D1118" s="2" t="str">
        <f>"9780470579664"</f>
        <v>9780470579664</v>
      </c>
      <c r="E1118" s="2">
        <v>484822</v>
      </c>
    </row>
    <row r="1119" spans="1:5" x14ac:dyDescent="0.25">
      <c r="A1119" s="4">
        <v>41975.933391203704</v>
      </c>
      <c r="B1119" s="2" t="s">
        <v>2751</v>
      </c>
      <c r="C1119" s="2" t="s">
        <v>119</v>
      </c>
      <c r="D1119" s="2" t="str">
        <f>"9780520910973"</f>
        <v>9780520910973</v>
      </c>
      <c r="E1119" s="2">
        <v>837210</v>
      </c>
    </row>
    <row r="1120" spans="1:5" x14ac:dyDescent="0.25">
      <c r="A1120" s="4">
        <v>41994.89912037037</v>
      </c>
      <c r="B1120" s="2" t="s">
        <v>1194</v>
      </c>
      <c r="C1120" s="2" t="s">
        <v>63</v>
      </c>
      <c r="D1120" s="2" t="str">
        <f>"9781400831425"</f>
        <v>9781400831425</v>
      </c>
      <c r="E1120" s="2">
        <v>1104421</v>
      </c>
    </row>
    <row r="1121" spans="1:5" x14ac:dyDescent="0.25">
      <c r="A1121" s="4">
        <v>41994.901932870373</v>
      </c>
      <c r="B1121" s="2" t="s">
        <v>938</v>
      </c>
      <c r="C1121" s="2" t="s">
        <v>119</v>
      </c>
      <c r="D1121" s="2" t="str">
        <f>"9780520924628"</f>
        <v>9780520924628</v>
      </c>
      <c r="E1121" s="2">
        <v>470983</v>
      </c>
    </row>
    <row r="1122" spans="1:5" x14ac:dyDescent="0.25">
      <c r="A1122" s="4">
        <v>41994.908206018517</v>
      </c>
      <c r="B1122" s="2" t="s">
        <v>291</v>
      </c>
      <c r="C1122" s="2" t="s">
        <v>26</v>
      </c>
      <c r="D1122" s="2" t="str">
        <f>"9781118001516"</f>
        <v>9781118001516</v>
      </c>
      <c r="E1122" s="2">
        <v>661495</v>
      </c>
    </row>
    <row r="1123" spans="1:5" x14ac:dyDescent="0.25">
      <c r="A1123" s="4">
        <v>41982.350138888891</v>
      </c>
      <c r="B1123" s="2" t="s">
        <v>2452</v>
      </c>
      <c r="C1123" s="2" t="s">
        <v>171</v>
      </c>
      <c r="D1123" s="2" t="str">
        <f>"9780730376026"</f>
        <v>9780730376026</v>
      </c>
      <c r="E1123" s="2">
        <v>708034</v>
      </c>
    </row>
    <row r="1124" spans="1:5" x14ac:dyDescent="0.25">
      <c r="A1124" s="4">
        <v>41994.899131944447</v>
      </c>
      <c r="B1124" s="2" t="s">
        <v>1123</v>
      </c>
      <c r="C1124" s="2" t="s">
        <v>63</v>
      </c>
      <c r="D1124" s="2" t="str">
        <f>"9781400848393"</f>
        <v>9781400848393</v>
      </c>
      <c r="E1124" s="2">
        <v>1489936</v>
      </c>
    </row>
    <row r="1125" spans="1:5" x14ac:dyDescent="0.25">
      <c r="A1125" s="4">
        <v>41994.889918981484</v>
      </c>
      <c r="B1125" s="2" t="s">
        <v>1849</v>
      </c>
      <c r="C1125" s="2" t="s">
        <v>72</v>
      </c>
      <c r="D1125" s="2" t="str">
        <f>"9780748643349"</f>
        <v>9780748643349</v>
      </c>
      <c r="E1125" s="2">
        <v>951320</v>
      </c>
    </row>
    <row r="1126" spans="1:5" x14ac:dyDescent="0.25">
      <c r="A1126" s="4">
        <v>41994.899074074077</v>
      </c>
      <c r="B1126" s="2" t="s">
        <v>1350</v>
      </c>
      <c r="C1126" s="2" t="s">
        <v>63</v>
      </c>
      <c r="D1126" s="2" t="str">
        <f>"9781400836932"</f>
        <v>9781400836932</v>
      </c>
      <c r="E1126" s="2">
        <v>590829</v>
      </c>
    </row>
    <row r="1127" spans="1:5" x14ac:dyDescent="0.25">
      <c r="A1127" s="4">
        <v>41913.774467592593</v>
      </c>
      <c r="B1127" s="2" t="s">
        <v>3532</v>
      </c>
      <c r="C1127" s="2" t="s">
        <v>63</v>
      </c>
      <c r="D1127" s="2" t="str">
        <f>"9781400820276"</f>
        <v>9781400820276</v>
      </c>
      <c r="E1127" s="2">
        <v>445445</v>
      </c>
    </row>
    <row r="1128" spans="1:5" x14ac:dyDescent="0.25">
      <c r="A1128" s="4">
        <v>41994.896145833336</v>
      </c>
      <c r="B1128" s="2" t="s">
        <v>1502</v>
      </c>
      <c r="C1128" s="2" t="s">
        <v>28</v>
      </c>
      <c r="D1128" s="2" t="str">
        <f>"9780253007810"</f>
        <v>9780253007810</v>
      </c>
      <c r="E1128" s="2">
        <v>923144</v>
      </c>
    </row>
    <row r="1129" spans="1:5" x14ac:dyDescent="0.25">
      <c r="A1129" s="4">
        <v>41975.866979166669</v>
      </c>
      <c r="B1129" s="2" t="s">
        <v>2767</v>
      </c>
      <c r="C1129" s="2" t="s">
        <v>18</v>
      </c>
      <c r="D1129" s="2" t="str">
        <f>"9781408198797"</f>
        <v>9781408198797</v>
      </c>
      <c r="E1129" s="2">
        <v>708909</v>
      </c>
    </row>
    <row r="1130" spans="1:5" x14ac:dyDescent="0.25">
      <c r="A1130" s="4">
        <v>41994.908159722225</v>
      </c>
      <c r="B1130" s="2" t="s">
        <v>389</v>
      </c>
      <c r="C1130" s="2" t="s">
        <v>26</v>
      </c>
      <c r="D1130" s="2" t="str">
        <f>"9780470115244"</f>
        <v>9780470115244</v>
      </c>
      <c r="E1130" s="2">
        <v>288177</v>
      </c>
    </row>
    <row r="1131" spans="1:5" x14ac:dyDescent="0.25">
      <c r="A1131" s="4">
        <v>41928.607870370368</v>
      </c>
      <c r="B1131" s="2" t="s">
        <v>3192</v>
      </c>
      <c r="C1131" s="2" t="s">
        <v>26</v>
      </c>
      <c r="D1131" s="2" t="str">
        <f>"9780471430414"</f>
        <v>9780471430414</v>
      </c>
      <c r="E1131" s="2">
        <v>141418</v>
      </c>
    </row>
    <row r="1132" spans="1:5" x14ac:dyDescent="0.25">
      <c r="A1132" s="4">
        <v>41916.411354166667</v>
      </c>
      <c r="B1132" s="2" t="s">
        <v>3480</v>
      </c>
      <c r="C1132" s="2" t="s">
        <v>26</v>
      </c>
      <c r="D1132" s="2" t="str">
        <f>"9781118037379"</f>
        <v>9781118037379</v>
      </c>
      <c r="E1132" s="2">
        <v>706902</v>
      </c>
    </row>
    <row r="1133" spans="1:5" x14ac:dyDescent="0.25">
      <c r="A1133" s="4">
        <v>41834.529687499999</v>
      </c>
      <c r="B1133" s="2" t="s">
        <v>3984</v>
      </c>
      <c r="C1133" s="2" t="s">
        <v>26</v>
      </c>
      <c r="D1133" s="2" t="str">
        <f>"9780470504178"</f>
        <v>9780470504178</v>
      </c>
      <c r="E1133" s="2">
        <v>448931</v>
      </c>
    </row>
    <row r="1134" spans="1:5" x14ac:dyDescent="0.25">
      <c r="A1134" s="4">
        <v>41975.516932870371</v>
      </c>
      <c r="B1134" s="2" t="s">
        <v>2837</v>
      </c>
      <c r="C1134" s="2" t="s">
        <v>26</v>
      </c>
      <c r="D1134" s="2" t="str">
        <f>"9780471718208"</f>
        <v>9780471718208</v>
      </c>
      <c r="E1134" s="2">
        <v>226608</v>
      </c>
    </row>
    <row r="1135" spans="1:5" x14ac:dyDescent="0.25">
      <c r="A1135" s="4">
        <v>41974.901053240741</v>
      </c>
      <c r="B1135" s="2" t="s">
        <v>2895</v>
      </c>
      <c r="C1135" s="2" t="s">
        <v>26</v>
      </c>
      <c r="D1135" s="2" t="str">
        <f>"9780470599723"</f>
        <v>9780470599723</v>
      </c>
      <c r="E1135" s="2">
        <v>495971</v>
      </c>
    </row>
    <row r="1136" spans="1:5" x14ac:dyDescent="0.25">
      <c r="A1136" s="4">
        <v>41919.488553240742</v>
      </c>
      <c r="B1136" s="2" t="s">
        <v>3398</v>
      </c>
      <c r="C1136" s="2" t="s">
        <v>26</v>
      </c>
      <c r="D1136" s="2" t="str">
        <f>"9780470920589"</f>
        <v>9780470920589</v>
      </c>
      <c r="E1136" s="2">
        <v>706698</v>
      </c>
    </row>
    <row r="1137" spans="1:5" x14ac:dyDescent="0.25">
      <c r="A1137" s="4">
        <v>41989.462673611109</v>
      </c>
      <c r="B1137" s="2" t="s">
        <v>2259</v>
      </c>
      <c r="C1137" s="2" t="s">
        <v>18</v>
      </c>
      <c r="D1137" s="2" t="str">
        <f>"9781408149690"</f>
        <v>9781408149690</v>
      </c>
      <c r="E1137" s="2">
        <v>591063</v>
      </c>
    </row>
    <row r="1138" spans="1:5" x14ac:dyDescent="0.25">
      <c r="A1138" s="4">
        <v>41917.694386574076</v>
      </c>
      <c r="B1138" s="2" t="s">
        <v>3455</v>
      </c>
      <c r="C1138" s="2" t="s">
        <v>26</v>
      </c>
      <c r="D1138" s="2" t="str">
        <f>"9780470599983"</f>
        <v>9780470599983</v>
      </c>
      <c r="E1138" s="2">
        <v>495968</v>
      </c>
    </row>
    <row r="1139" spans="1:5" x14ac:dyDescent="0.25">
      <c r="A1139" s="4">
        <v>41994.908148148148</v>
      </c>
      <c r="B1139" s="2" t="s">
        <v>408</v>
      </c>
      <c r="C1139" s="2" t="s">
        <v>26</v>
      </c>
      <c r="D1139" s="2" t="str">
        <f>"9780471703709"</f>
        <v>9780471703709</v>
      </c>
      <c r="E1139" s="2">
        <v>219037</v>
      </c>
    </row>
    <row r="1140" spans="1:5" x14ac:dyDescent="0.25">
      <c r="A1140" s="4">
        <v>41890.293599537035</v>
      </c>
      <c r="B1140" s="2" t="s">
        <v>408</v>
      </c>
      <c r="C1140" s="2" t="s">
        <v>160</v>
      </c>
      <c r="D1140" s="2" t="str">
        <f>"9780470451748"</f>
        <v>9780470451748</v>
      </c>
      <c r="E1140" s="2">
        <v>468954</v>
      </c>
    </row>
    <row r="1141" spans="1:5" x14ac:dyDescent="0.25">
      <c r="A1141" s="4">
        <v>41994.908206018517</v>
      </c>
      <c r="B1141" s="2" t="s">
        <v>290</v>
      </c>
      <c r="C1141" s="2" t="s">
        <v>26</v>
      </c>
      <c r="D1141" s="2" t="str">
        <f>"9780470946435"</f>
        <v>9780470946435</v>
      </c>
      <c r="E1141" s="2">
        <v>661538</v>
      </c>
    </row>
    <row r="1142" spans="1:5" x14ac:dyDescent="0.25">
      <c r="A1142" s="4">
        <v>41976.472453703704</v>
      </c>
      <c r="B1142" s="2" t="s">
        <v>2706</v>
      </c>
      <c r="C1142" s="2" t="s">
        <v>72</v>
      </c>
      <c r="D1142" s="2" t="str">
        <f>"9780748630028"</f>
        <v>9780748630028</v>
      </c>
      <c r="E1142" s="2">
        <v>286982</v>
      </c>
    </row>
    <row r="1143" spans="1:5" x14ac:dyDescent="0.25">
      <c r="A1143" s="4">
        <v>42942.581516203703</v>
      </c>
      <c r="B1143" s="2" t="s">
        <v>126</v>
      </c>
      <c r="C1143" s="2" t="s">
        <v>28</v>
      </c>
      <c r="D1143" s="2" t="str">
        <f>"9780253024381"</f>
        <v>9780253024381</v>
      </c>
      <c r="E1143" s="2">
        <v>4812875</v>
      </c>
    </row>
    <row r="1144" spans="1:5" x14ac:dyDescent="0.25">
      <c r="A1144" s="4">
        <v>41994.899097222224</v>
      </c>
      <c r="B1144" s="2" t="s">
        <v>1270</v>
      </c>
      <c r="C1144" s="2" t="s">
        <v>63</v>
      </c>
      <c r="D1144" s="2" t="str">
        <f>"9781400840366"</f>
        <v>9781400840366</v>
      </c>
      <c r="E1144" s="2">
        <v>776367</v>
      </c>
    </row>
    <row r="1145" spans="1:5" x14ac:dyDescent="0.25">
      <c r="A1145" s="4">
        <v>41904.782384259262</v>
      </c>
      <c r="B1145" s="2" t="s">
        <v>3766</v>
      </c>
      <c r="C1145" s="2" t="s">
        <v>5</v>
      </c>
      <c r="D1145" s="2" t="str">
        <f>"9780857007575"</f>
        <v>9780857007575</v>
      </c>
      <c r="E1145" s="2">
        <v>1329770</v>
      </c>
    </row>
    <row r="1146" spans="1:5" x14ac:dyDescent="0.25">
      <c r="A1146" s="4">
        <v>41897.447199074071</v>
      </c>
      <c r="B1146" s="2" t="s">
        <v>3872</v>
      </c>
      <c r="C1146" s="2" t="s">
        <v>26</v>
      </c>
      <c r="D1146" s="2" t="str">
        <f>"9780470917220"</f>
        <v>9780470917220</v>
      </c>
      <c r="E1146" s="2">
        <v>624464</v>
      </c>
    </row>
    <row r="1147" spans="1:5" x14ac:dyDescent="0.25">
      <c r="A1147" s="4">
        <v>41994.885000000002</v>
      </c>
      <c r="B1147" s="2" t="s">
        <v>2086</v>
      </c>
      <c r="C1147" s="2" t="s">
        <v>18</v>
      </c>
      <c r="D1147" s="2" t="str">
        <f>"9781441116567"</f>
        <v>9781441116567</v>
      </c>
      <c r="E1147" s="2">
        <v>742704</v>
      </c>
    </row>
    <row r="1148" spans="1:5" x14ac:dyDescent="0.25">
      <c r="A1148" s="4">
        <v>41896.942245370374</v>
      </c>
      <c r="B1148" s="2" t="s">
        <v>3873</v>
      </c>
      <c r="C1148" s="2" t="s">
        <v>7</v>
      </c>
      <c r="D1148" s="2" t="str">
        <f>"9781848609198"</f>
        <v>9781848609198</v>
      </c>
      <c r="E1148" s="2">
        <v>456805</v>
      </c>
    </row>
    <row r="1149" spans="1:5" x14ac:dyDescent="0.25">
      <c r="A1149" s="4">
        <v>41994.908217592594</v>
      </c>
      <c r="B1149" s="2" t="s">
        <v>242</v>
      </c>
      <c r="C1149" s="2" t="s">
        <v>26</v>
      </c>
      <c r="D1149" s="2" t="str">
        <f>"9781118015858"</f>
        <v>9781118015858</v>
      </c>
      <c r="E1149" s="2">
        <v>697916</v>
      </c>
    </row>
    <row r="1150" spans="1:5" x14ac:dyDescent="0.25">
      <c r="A1150" s="4">
        <v>41994.896157407406</v>
      </c>
      <c r="B1150" s="2" t="s">
        <v>1477</v>
      </c>
      <c r="C1150" s="2" t="s">
        <v>28</v>
      </c>
      <c r="D1150" s="2" t="str">
        <f>"9780253008893"</f>
        <v>9780253008893</v>
      </c>
      <c r="E1150" s="2">
        <v>1207316</v>
      </c>
    </row>
    <row r="1151" spans="1:5" x14ac:dyDescent="0.25">
      <c r="A1151" s="4">
        <v>41932.326435185183</v>
      </c>
      <c r="B1151" s="2" t="s">
        <v>3128</v>
      </c>
      <c r="C1151" s="2" t="s">
        <v>28</v>
      </c>
      <c r="D1151" s="2" t="str">
        <f>"9780253011473"</f>
        <v>9780253011473</v>
      </c>
      <c r="E1151" s="2">
        <v>1579460</v>
      </c>
    </row>
    <row r="1152" spans="1:5" x14ac:dyDescent="0.25">
      <c r="A1152" s="4">
        <v>41909.430601851855</v>
      </c>
      <c r="B1152" s="2" t="s">
        <v>3631</v>
      </c>
      <c r="C1152" s="2" t="s">
        <v>26</v>
      </c>
      <c r="D1152" s="2" t="str">
        <f>"9780470552957"</f>
        <v>9780470552957</v>
      </c>
      <c r="E1152" s="2">
        <v>477815</v>
      </c>
    </row>
    <row r="1153" spans="1:5" x14ac:dyDescent="0.25">
      <c r="A1153" s="4">
        <v>41975.556886574072</v>
      </c>
      <c r="B1153" s="2" t="s">
        <v>2830</v>
      </c>
      <c r="C1153" s="2" t="s">
        <v>119</v>
      </c>
      <c r="D1153" s="2" t="str">
        <f>"9780520938663"</f>
        <v>9780520938663</v>
      </c>
      <c r="E1153" s="2">
        <v>236962</v>
      </c>
    </row>
    <row r="1154" spans="1:5" x14ac:dyDescent="0.25">
      <c r="A1154" s="4">
        <v>41985.892395833333</v>
      </c>
      <c r="B1154" s="2" t="s">
        <v>2327</v>
      </c>
      <c r="C1154" s="2" t="s">
        <v>18</v>
      </c>
      <c r="D1154" s="2" t="str">
        <f>"9781472521217"</f>
        <v>9781472521217</v>
      </c>
      <c r="E1154" s="2">
        <v>1394887</v>
      </c>
    </row>
    <row r="1155" spans="1:5" x14ac:dyDescent="0.25">
      <c r="A1155" s="4">
        <v>41975.981504629628</v>
      </c>
      <c r="B1155" s="2" t="s">
        <v>2744</v>
      </c>
      <c r="C1155" s="2" t="s">
        <v>28</v>
      </c>
      <c r="D1155" s="2" t="str">
        <f>"9780253006585"</f>
        <v>9780253006585</v>
      </c>
      <c r="E1155" s="2">
        <v>816858</v>
      </c>
    </row>
    <row r="1156" spans="1:5" x14ac:dyDescent="0.25">
      <c r="A1156" s="4">
        <v>41878.471736111111</v>
      </c>
      <c r="B1156" s="2" t="s">
        <v>3931</v>
      </c>
      <c r="C1156" s="2" t="s">
        <v>119</v>
      </c>
      <c r="D1156" s="2" t="str">
        <f>"9780520948099"</f>
        <v>9780520948099</v>
      </c>
      <c r="E1156" s="2">
        <v>865264</v>
      </c>
    </row>
    <row r="1157" spans="1:5" x14ac:dyDescent="0.25">
      <c r="A1157" s="4">
        <v>41974.533310185187</v>
      </c>
      <c r="B1157" s="2" t="s">
        <v>2965</v>
      </c>
      <c r="C1157" s="2" t="s">
        <v>63</v>
      </c>
      <c r="D1157" s="2" t="str">
        <f>"9781400846153"</f>
        <v>9781400846153</v>
      </c>
      <c r="E1157" s="2">
        <v>1130166</v>
      </c>
    </row>
    <row r="1158" spans="1:5" x14ac:dyDescent="0.25">
      <c r="A1158" s="4">
        <v>41994.889930555553</v>
      </c>
      <c r="B1158" s="2" t="s">
        <v>1824</v>
      </c>
      <c r="C1158" s="2" t="s">
        <v>72</v>
      </c>
      <c r="D1158" s="2" t="str">
        <f>"9780748668618"</f>
        <v>9780748668618</v>
      </c>
      <c r="E1158" s="2">
        <v>1168201</v>
      </c>
    </row>
    <row r="1159" spans="1:5" x14ac:dyDescent="0.25">
      <c r="A1159" s="4">
        <v>41994.896099537036</v>
      </c>
      <c r="B1159" s="2" t="s">
        <v>1593</v>
      </c>
      <c r="C1159" s="2" t="s">
        <v>28</v>
      </c>
      <c r="D1159" s="2" t="str">
        <f>"9780253009760"</f>
        <v>9780253009760</v>
      </c>
      <c r="E1159" s="2">
        <v>437635</v>
      </c>
    </row>
    <row r="1160" spans="1:5" x14ac:dyDescent="0.25">
      <c r="A1160" s="4">
        <v>43157.414293981485</v>
      </c>
      <c r="B1160" s="2" t="s">
        <v>88</v>
      </c>
      <c r="C1160" s="2" t="s">
        <v>63</v>
      </c>
      <c r="D1160" s="2" t="str">
        <f>"9781400885510"</f>
        <v>9781400885510</v>
      </c>
      <c r="E1160" s="2">
        <v>4821361</v>
      </c>
    </row>
    <row r="1161" spans="1:5" x14ac:dyDescent="0.25">
      <c r="A1161" s="4">
        <v>41934.996400462966</v>
      </c>
      <c r="B1161" s="2" t="s">
        <v>3041</v>
      </c>
      <c r="C1161" s="2" t="s">
        <v>26</v>
      </c>
      <c r="D1161" s="2" t="str">
        <f>"9781444357011"</f>
        <v>9781444357011</v>
      </c>
      <c r="E1161" s="2">
        <v>822670</v>
      </c>
    </row>
    <row r="1162" spans="1:5" x14ac:dyDescent="0.25">
      <c r="A1162" s="4">
        <v>42878.527060185188</v>
      </c>
      <c r="B1162" s="2" t="s">
        <v>155</v>
      </c>
      <c r="C1162" s="2" t="s">
        <v>26</v>
      </c>
      <c r="D1162" s="2" t="str">
        <f>"9781118702260"</f>
        <v>9781118702260</v>
      </c>
      <c r="E1162" s="2">
        <v>1209664</v>
      </c>
    </row>
    <row r="1163" spans="1:5" x14ac:dyDescent="0.25">
      <c r="A1163" s="4">
        <v>41994.892905092594</v>
      </c>
      <c r="B1163" s="2" t="s">
        <v>1736</v>
      </c>
      <c r="C1163" s="2" t="s">
        <v>16</v>
      </c>
      <c r="D1163" s="2" t="str">
        <f>"9781606239018"</f>
        <v>9781606239018</v>
      </c>
      <c r="E1163" s="2">
        <v>581949</v>
      </c>
    </row>
    <row r="1164" spans="1:5" x14ac:dyDescent="0.25">
      <c r="A1164" s="4">
        <v>41994.901956018519</v>
      </c>
      <c r="B1164" s="2" t="s">
        <v>863</v>
      </c>
      <c r="C1164" s="2" t="s">
        <v>119</v>
      </c>
      <c r="D1164" s="2" t="str">
        <f>"9780520949928"</f>
        <v>9780520949928</v>
      </c>
      <c r="E1164" s="2">
        <v>718658</v>
      </c>
    </row>
    <row r="1165" spans="1:5" x14ac:dyDescent="0.25">
      <c r="A1165" s="4">
        <v>41994.885011574072</v>
      </c>
      <c r="B1165" s="2" t="s">
        <v>2061</v>
      </c>
      <c r="C1165" s="2" t="s">
        <v>18</v>
      </c>
      <c r="D1165" s="2" t="str">
        <f>"9781441118998"</f>
        <v>9781441118998</v>
      </c>
      <c r="E1165" s="2">
        <v>866331</v>
      </c>
    </row>
    <row r="1166" spans="1:5" x14ac:dyDescent="0.25">
      <c r="A1166" s="4">
        <v>41994.901990740742</v>
      </c>
      <c r="B1166" s="2" t="s">
        <v>734</v>
      </c>
      <c r="C1166" s="2" t="s">
        <v>119</v>
      </c>
      <c r="D1166" s="2" t="str">
        <f>"9780520954526"</f>
        <v>9780520954526</v>
      </c>
      <c r="E1166" s="2">
        <v>1092957</v>
      </c>
    </row>
    <row r="1167" spans="1:5" x14ac:dyDescent="0.25">
      <c r="A1167" s="4">
        <v>41994.896168981482</v>
      </c>
      <c r="B1167" s="2" t="s">
        <v>1463</v>
      </c>
      <c r="C1167" s="2" t="s">
        <v>28</v>
      </c>
      <c r="D1167" s="2" t="str">
        <f>"9780253013576"</f>
        <v>9780253013576</v>
      </c>
      <c r="E1167" s="2">
        <v>1402903</v>
      </c>
    </row>
    <row r="1168" spans="1:5" x14ac:dyDescent="0.25">
      <c r="A1168" s="4">
        <v>41994.896134259259</v>
      </c>
      <c r="B1168" s="2" t="s">
        <v>1531</v>
      </c>
      <c r="C1168" s="2" t="s">
        <v>28</v>
      </c>
      <c r="D1168" s="2" t="str">
        <f>"9780253001054"</f>
        <v>9780253001054</v>
      </c>
      <c r="E1168" s="2">
        <v>731388</v>
      </c>
    </row>
    <row r="1169" spans="1:5" x14ac:dyDescent="0.25">
      <c r="A1169" s="4">
        <v>41994.892939814818</v>
      </c>
      <c r="B1169" s="2" t="s">
        <v>1651</v>
      </c>
      <c r="C1169" s="2" t="s">
        <v>16</v>
      </c>
      <c r="D1169" s="2" t="str">
        <f>"9781462511655"</f>
        <v>9781462511655</v>
      </c>
      <c r="E1169" s="2">
        <v>1313470</v>
      </c>
    </row>
    <row r="1170" spans="1:5" x14ac:dyDescent="0.25">
      <c r="A1170" s="4">
        <v>41994.901944444442</v>
      </c>
      <c r="B1170" s="2" t="s">
        <v>894</v>
      </c>
      <c r="C1170" s="2" t="s">
        <v>119</v>
      </c>
      <c r="D1170" s="2" t="str">
        <f>"9780520948525"</f>
        <v>9780520948525</v>
      </c>
      <c r="E1170" s="2">
        <v>631052</v>
      </c>
    </row>
    <row r="1171" spans="1:5" x14ac:dyDescent="0.25">
      <c r="A1171" s="4">
        <v>41994.908217592594</v>
      </c>
      <c r="B1171" s="2" t="s">
        <v>253</v>
      </c>
      <c r="C1171" s="2" t="s">
        <v>26</v>
      </c>
      <c r="D1171" s="2" t="str">
        <f>"9781118120729"</f>
        <v>9781118120729</v>
      </c>
      <c r="E1171" s="2">
        <v>697651</v>
      </c>
    </row>
    <row r="1172" spans="1:5" x14ac:dyDescent="0.25">
      <c r="A1172" s="4">
        <v>41994.901944444442</v>
      </c>
      <c r="B1172" s="2" t="s">
        <v>895</v>
      </c>
      <c r="C1172" s="2" t="s">
        <v>119</v>
      </c>
      <c r="D1172" s="2" t="str">
        <f>"9780520948488"</f>
        <v>9780520948488</v>
      </c>
      <c r="E1172" s="2">
        <v>631049</v>
      </c>
    </row>
    <row r="1173" spans="1:5" x14ac:dyDescent="0.25">
      <c r="A1173" s="4">
        <v>41985.410613425927</v>
      </c>
      <c r="B1173" s="2" t="s">
        <v>2340</v>
      </c>
      <c r="C1173" s="2" t="s">
        <v>119</v>
      </c>
      <c r="D1173" s="2" t="str">
        <f>"9780520945173"</f>
        <v>9780520945173</v>
      </c>
      <c r="E1173" s="2">
        <v>470984</v>
      </c>
    </row>
    <row r="1174" spans="1:5" x14ac:dyDescent="0.25">
      <c r="A1174" s="4">
        <v>41974.929201388892</v>
      </c>
      <c r="B1174" s="2" t="s">
        <v>2892</v>
      </c>
      <c r="C1174" s="2" t="s">
        <v>63</v>
      </c>
      <c r="D1174" s="2" t="str">
        <f>"9781400849109"</f>
        <v>9781400849109</v>
      </c>
      <c r="E1174" s="2">
        <v>1319175</v>
      </c>
    </row>
    <row r="1175" spans="1:5" x14ac:dyDescent="0.25">
      <c r="A1175" s="4">
        <v>41838.428425925929</v>
      </c>
      <c r="B1175" s="2" t="s">
        <v>3980</v>
      </c>
      <c r="C1175" s="2" t="s">
        <v>26</v>
      </c>
      <c r="D1175" s="2" t="str">
        <f>"9780471799634"</f>
        <v>9780471799634</v>
      </c>
      <c r="E1175" s="2">
        <v>258866</v>
      </c>
    </row>
    <row r="1176" spans="1:5" x14ac:dyDescent="0.25">
      <c r="A1176" s="4">
        <v>41994.908194444448</v>
      </c>
      <c r="B1176" s="2" t="s">
        <v>314</v>
      </c>
      <c r="C1176" s="2" t="s">
        <v>160</v>
      </c>
      <c r="D1176" s="2" t="str">
        <f>"9780470915950"</f>
        <v>9780470915950</v>
      </c>
      <c r="E1176" s="2">
        <v>588834</v>
      </c>
    </row>
    <row r="1177" spans="1:5" x14ac:dyDescent="0.25">
      <c r="A1177" s="4">
        <v>43244.46802083333</v>
      </c>
      <c r="B1177" s="2" t="s">
        <v>19</v>
      </c>
      <c r="C1177" s="2" t="s">
        <v>18</v>
      </c>
      <c r="D1177" s="2" t="str">
        <f>"9781350018259"</f>
        <v>9781350018259</v>
      </c>
      <c r="E1177" s="2">
        <v>4812134</v>
      </c>
    </row>
    <row r="1178" spans="1:5" x14ac:dyDescent="0.25">
      <c r="A1178" s="4">
        <v>41927.504108796296</v>
      </c>
      <c r="B1178" s="2" t="s">
        <v>3220</v>
      </c>
      <c r="C1178" s="2" t="s">
        <v>119</v>
      </c>
      <c r="D1178" s="2" t="str">
        <f>"9780520939363"</f>
        <v>9780520939363</v>
      </c>
      <c r="E1178" s="2">
        <v>224645</v>
      </c>
    </row>
    <row r="1179" spans="1:5" x14ac:dyDescent="0.25">
      <c r="A1179" s="4">
        <v>41911.801134259258</v>
      </c>
      <c r="B1179" s="2" t="s">
        <v>3583</v>
      </c>
      <c r="C1179" s="2" t="s">
        <v>160</v>
      </c>
      <c r="D1179" s="2" t="str">
        <f>"9780470634684"</f>
        <v>9780470634684</v>
      </c>
      <c r="E1179" s="2">
        <v>510176</v>
      </c>
    </row>
    <row r="1180" spans="1:5" x14ac:dyDescent="0.25">
      <c r="A1180" s="4">
        <v>41879.649780092594</v>
      </c>
      <c r="B1180" s="2" t="s">
        <v>3925</v>
      </c>
      <c r="C1180" s="2" t="s">
        <v>26</v>
      </c>
      <c r="D1180" s="2" t="str">
        <f>"9781118224137"</f>
        <v>9781118224137</v>
      </c>
      <c r="E1180" s="2">
        <v>818044</v>
      </c>
    </row>
    <row r="1181" spans="1:5" x14ac:dyDescent="0.25">
      <c r="A1181" s="4">
        <v>41928.431041666663</v>
      </c>
      <c r="B1181" s="2" t="s">
        <v>3202</v>
      </c>
      <c r="C1181" s="2" t="s">
        <v>26</v>
      </c>
      <c r="D1181" s="2" t="str">
        <f>"9780470904749"</f>
        <v>9780470904749</v>
      </c>
      <c r="E1181" s="2">
        <v>589088</v>
      </c>
    </row>
    <row r="1182" spans="1:5" x14ac:dyDescent="0.25">
      <c r="A1182" s="4">
        <v>41994.899050925924</v>
      </c>
      <c r="B1182" s="2" t="s">
        <v>1405</v>
      </c>
      <c r="C1182" s="2" t="s">
        <v>63</v>
      </c>
      <c r="D1182" s="2" t="str">
        <f>"9781400824939"</f>
        <v>9781400824939</v>
      </c>
      <c r="E1182" s="2">
        <v>457905</v>
      </c>
    </row>
    <row r="1183" spans="1:5" x14ac:dyDescent="0.25">
      <c r="A1183" s="4">
        <v>41994.901990740742</v>
      </c>
      <c r="B1183" s="2" t="s">
        <v>743</v>
      </c>
      <c r="C1183" s="2" t="s">
        <v>119</v>
      </c>
      <c r="D1183" s="2" t="str">
        <f>"9780520953918"</f>
        <v>9780520953918</v>
      </c>
      <c r="E1183" s="2">
        <v>1028908</v>
      </c>
    </row>
    <row r="1184" spans="1:5" x14ac:dyDescent="0.25">
      <c r="A1184" s="4">
        <v>41994.908171296294</v>
      </c>
      <c r="B1184" s="2" t="s">
        <v>377</v>
      </c>
      <c r="C1184" s="2" t="s">
        <v>26</v>
      </c>
      <c r="D1184" s="2" t="str">
        <f>"9780470283035"</f>
        <v>9780470283035</v>
      </c>
      <c r="E1184" s="2">
        <v>333755</v>
      </c>
    </row>
    <row r="1185" spans="1:5" x14ac:dyDescent="0.25">
      <c r="A1185" s="4">
        <v>41994.892905092594</v>
      </c>
      <c r="B1185" s="2" t="s">
        <v>1751</v>
      </c>
      <c r="C1185" s="2" t="s">
        <v>16</v>
      </c>
      <c r="D1185" s="2" t="str">
        <f>"9781606235737"</f>
        <v>9781606235737</v>
      </c>
      <c r="E1185" s="2">
        <v>479599</v>
      </c>
    </row>
    <row r="1186" spans="1:5" x14ac:dyDescent="0.25">
      <c r="A1186" s="4">
        <v>41976.6875</v>
      </c>
      <c r="B1186" s="2" t="s">
        <v>2648</v>
      </c>
      <c r="C1186" s="2" t="s">
        <v>160</v>
      </c>
      <c r="D1186" s="2" t="str">
        <f>"9780470630495"</f>
        <v>9780470630495</v>
      </c>
      <c r="E1186" s="2">
        <v>510129</v>
      </c>
    </row>
    <row r="1187" spans="1:5" x14ac:dyDescent="0.25">
      <c r="A1187" s="4">
        <v>41994.884988425925</v>
      </c>
      <c r="B1187" s="2" t="s">
        <v>2137</v>
      </c>
      <c r="C1187" s="2" t="s">
        <v>18</v>
      </c>
      <c r="D1187" s="2" t="str">
        <f>"9780567465672"</f>
        <v>9780567465672</v>
      </c>
      <c r="E1187" s="2">
        <v>601474</v>
      </c>
    </row>
    <row r="1188" spans="1:5" x14ac:dyDescent="0.25">
      <c r="A1188" s="4">
        <v>41977.608402777776</v>
      </c>
      <c r="B1188" s="2" t="s">
        <v>2602</v>
      </c>
      <c r="C1188" s="2" t="s">
        <v>7</v>
      </c>
      <c r="D1188" s="2" t="str">
        <f>"9781412931700"</f>
        <v>9781412931700</v>
      </c>
      <c r="E1188" s="2">
        <v>254802</v>
      </c>
    </row>
    <row r="1189" spans="1:5" x14ac:dyDescent="0.25">
      <c r="A1189" s="4">
        <v>41994.885011574072</v>
      </c>
      <c r="B1189" s="2" t="s">
        <v>2070</v>
      </c>
      <c r="C1189" s="2" t="s">
        <v>74</v>
      </c>
      <c r="D1189" s="2" t="str">
        <f>"9781441100511"</f>
        <v>9781441100511</v>
      </c>
      <c r="E1189" s="2">
        <v>831508</v>
      </c>
    </row>
    <row r="1190" spans="1:5" x14ac:dyDescent="0.25">
      <c r="A1190" s="4">
        <v>41994.901979166665</v>
      </c>
      <c r="B1190" s="2" t="s">
        <v>799</v>
      </c>
      <c r="C1190" s="2" t="s">
        <v>119</v>
      </c>
      <c r="D1190" s="2" t="str">
        <f>"9780520922280"</f>
        <v>9780520922280</v>
      </c>
      <c r="E1190" s="2">
        <v>858756</v>
      </c>
    </row>
    <row r="1191" spans="1:5" x14ac:dyDescent="0.25">
      <c r="A1191" s="4">
        <v>41994.908229166664</v>
      </c>
      <c r="B1191" s="2" t="s">
        <v>224</v>
      </c>
      <c r="C1191" s="2" t="s">
        <v>26</v>
      </c>
      <c r="D1191" s="2" t="str">
        <f>"9781119991748"</f>
        <v>9781119991748</v>
      </c>
      <c r="E1191" s="2">
        <v>700459</v>
      </c>
    </row>
    <row r="1192" spans="1:5" x14ac:dyDescent="0.25">
      <c r="A1192" s="4">
        <v>41920.578935185185</v>
      </c>
      <c r="B1192" s="2" t="s">
        <v>3365</v>
      </c>
      <c r="C1192" s="2" t="s">
        <v>26</v>
      </c>
      <c r="D1192" s="2" t="str">
        <f>"9781405150385"</f>
        <v>9781405150385</v>
      </c>
      <c r="E1192" s="2">
        <v>239844</v>
      </c>
    </row>
    <row r="1193" spans="1:5" x14ac:dyDescent="0.25">
      <c r="A1193" s="4">
        <v>41994.899143518516</v>
      </c>
      <c r="B1193" s="2" t="s">
        <v>1102</v>
      </c>
      <c r="C1193" s="2" t="s">
        <v>63</v>
      </c>
      <c r="D1193" s="2" t="str">
        <f>"9781400850914"</f>
        <v>9781400850914</v>
      </c>
      <c r="E1193" s="2">
        <v>1573478</v>
      </c>
    </row>
    <row r="1194" spans="1:5" x14ac:dyDescent="0.25">
      <c r="A1194" s="4">
        <v>41903.361747685187</v>
      </c>
      <c r="B1194" s="2" t="s">
        <v>3799</v>
      </c>
      <c r="C1194" s="2" t="s">
        <v>7</v>
      </c>
      <c r="D1194" s="2" t="str">
        <f>"9781452249124"</f>
        <v>9781452249124</v>
      </c>
      <c r="E1194" s="2">
        <v>997092</v>
      </c>
    </row>
    <row r="1195" spans="1:5" x14ac:dyDescent="0.25">
      <c r="A1195" s="4">
        <v>41994.901956018519</v>
      </c>
      <c r="B1195" s="2" t="s">
        <v>881</v>
      </c>
      <c r="C1195" s="2" t="s">
        <v>119</v>
      </c>
      <c r="D1195" s="2" t="str">
        <f>"9780520948426"</f>
        <v>9780520948426</v>
      </c>
      <c r="E1195" s="2">
        <v>656674</v>
      </c>
    </row>
    <row r="1196" spans="1:5" x14ac:dyDescent="0.25">
      <c r="A1196" s="4">
        <v>41994.892951388887</v>
      </c>
      <c r="B1196" s="2" t="s">
        <v>1632</v>
      </c>
      <c r="C1196" s="2" t="s">
        <v>16</v>
      </c>
      <c r="D1196" s="2" t="str">
        <f>"9781462515837"</f>
        <v>9781462515837</v>
      </c>
      <c r="E1196" s="2">
        <v>1675478</v>
      </c>
    </row>
    <row r="1197" spans="1:5" x14ac:dyDescent="0.25">
      <c r="A1197" s="4">
        <v>41994.892916666664</v>
      </c>
      <c r="B1197" s="2" t="s">
        <v>1732</v>
      </c>
      <c r="C1197" s="2" t="s">
        <v>16</v>
      </c>
      <c r="D1197" s="2" t="str">
        <f>"9781609180423"</f>
        <v>9781609180423</v>
      </c>
      <c r="E1197" s="2">
        <v>605347</v>
      </c>
    </row>
    <row r="1198" spans="1:5" x14ac:dyDescent="0.25">
      <c r="A1198" s="4">
        <v>41920.706030092595</v>
      </c>
      <c r="B1198" s="2" t="s">
        <v>3360</v>
      </c>
      <c r="C1198" s="2" t="s">
        <v>5</v>
      </c>
      <c r="D1198" s="2" t="str">
        <f>"9780857007421"</f>
        <v>9780857007421</v>
      </c>
      <c r="E1198" s="2">
        <v>1414105</v>
      </c>
    </row>
    <row r="1199" spans="1:5" x14ac:dyDescent="0.25">
      <c r="A1199" s="4">
        <v>43129.627592592595</v>
      </c>
      <c r="B1199" s="2" t="s">
        <v>123</v>
      </c>
      <c r="C1199" s="2" t="s">
        <v>5</v>
      </c>
      <c r="D1199" s="2" t="str">
        <f>"9781784505912"</f>
        <v>9781784505912</v>
      </c>
      <c r="E1199" s="2">
        <v>4856390</v>
      </c>
    </row>
    <row r="1200" spans="1:5" x14ac:dyDescent="0.25">
      <c r="A1200" s="4">
        <v>41994.896122685182</v>
      </c>
      <c r="B1200" s="2" t="s">
        <v>1559</v>
      </c>
      <c r="C1200" s="2" t="s">
        <v>28</v>
      </c>
      <c r="D1200" s="2" t="str">
        <f>"9780253005250"</f>
        <v>9780253005250</v>
      </c>
      <c r="E1200" s="2">
        <v>670284</v>
      </c>
    </row>
    <row r="1201" spans="1:5" x14ac:dyDescent="0.25">
      <c r="A1201" s="4">
        <v>41994.901967592596</v>
      </c>
      <c r="B1201" s="2" t="s">
        <v>837</v>
      </c>
      <c r="C1201" s="2" t="s">
        <v>119</v>
      </c>
      <c r="D1201" s="2" t="str">
        <f>"9780520950313"</f>
        <v>9780520950313</v>
      </c>
      <c r="E1201" s="2">
        <v>785219</v>
      </c>
    </row>
    <row r="1202" spans="1:5" x14ac:dyDescent="0.25">
      <c r="A1202" s="4">
        <v>43144.360567129632</v>
      </c>
      <c r="B1202" s="2" t="s">
        <v>102</v>
      </c>
      <c r="C1202" s="2" t="s">
        <v>26</v>
      </c>
      <c r="D1202" s="2" t="str">
        <f>"9781118816059"</f>
        <v>9781118816059</v>
      </c>
      <c r="E1202" s="2">
        <v>1762073</v>
      </c>
    </row>
    <row r="1203" spans="1:5" x14ac:dyDescent="0.25">
      <c r="A1203" s="4">
        <v>41983.378888888888</v>
      </c>
      <c r="B1203" s="2" t="s">
        <v>2415</v>
      </c>
      <c r="C1203" s="2" t="s">
        <v>26</v>
      </c>
      <c r="D1203" s="2" t="str">
        <f>"9780470876008"</f>
        <v>9780470876008</v>
      </c>
      <c r="E1203" s="2">
        <v>529970</v>
      </c>
    </row>
    <row r="1204" spans="1:5" x14ac:dyDescent="0.25">
      <c r="A1204" s="4">
        <v>41906.56459490741</v>
      </c>
      <c r="B1204" s="2" t="s">
        <v>3711</v>
      </c>
      <c r="C1204" s="2" t="s">
        <v>16</v>
      </c>
      <c r="D1204" s="2" t="str">
        <f>"9781462513802"</f>
        <v>9781462513802</v>
      </c>
      <c r="E1204" s="2">
        <v>1596093</v>
      </c>
    </row>
    <row r="1205" spans="1:5" x14ac:dyDescent="0.25">
      <c r="A1205" s="4">
        <v>41927.849537037036</v>
      </c>
      <c r="B1205" s="2" t="s">
        <v>3208</v>
      </c>
      <c r="C1205" s="2" t="s">
        <v>26</v>
      </c>
      <c r="D1205" s="2" t="str">
        <f>"9781118207895"</f>
        <v>9781118207895</v>
      </c>
      <c r="E1205" s="2">
        <v>819114</v>
      </c>
    </row>
    <row r="1206" spans="1:5" x14ac:dyDescent="0.25">
      <c r="A1206" s="4">
        <v>41994.902002314811</v>
      </c>
      <c r="B1206" s="2" t="s">
        <v>694</v>
      </c>
      <c r="C1206" s="2" t="s">
        <v>119</v>
      </c>
      <c r="D1206" s="2" t="str">
        <f>"9780520957435"</f>
        <v>9780520957435</v>
      </c>
      <c r="E1206" s="2">
        <v>1337906</v>
      </c>
    </row>
    <row r="1207" spans="1:5" x14ac:dyDescent="0.25">
      <c r="A1207" s="4">
        <v>41994.899143518516</v>
      </c>
      <c r="B1207" s="2" t="s">
        <v>1109</v>
      </c>
      <c r="C1207" s="2" t="s">
        <v>63</v>
      </c>
      <c r="D1207" s="2" t="str">
        <f>"9781400850143"</f>
        <v>9781400850143</v>
      </c>
      <c r="E1207" s="2">
        <v>1568776</v>
      </c>
    </row>
    <row r="1208" spans="1:5" x14ac:dyDescent="0.25">
      <c r="A1208" s="4">
        <v>41933.834733796299</v>
      </c>
      <c r="B1208" s="2" t="s">
        <v>3078</v>
      </c>
      <c r="C1208" s="2" t="s">
        <v>1934</v>
      </c>
      <c r="D1208" s="2" t="str">
        <f>"9781849668040"</f>
        <v>9781849668040</v>
      </c>
      <c r="E1208" s="2">
        <v>819840</v>
      </c>
    </row>
    <row r="1209" spans="1:5" x14ac:dyDescent="0.25">
      <c r="A1209" s="4">
        <v>42886.427870370368</v>
      </c>
      <c r="B1209" s="2" t="s">
        <v>135</v>
      </c>
      <c r="C1209" s="2" t="s">
        <v>7</v>
      </c>
      <c r="D1209" s="2" t="str">
        <f>"9781483341781"</f>
        <v>9781483341781</v>
      </c>
      <c r="E1209" s="2">
        <v>1995456</v>
      </c>
    </row>
    <row r="1210" spans="1:5" x14ac:dyDescent="0.25">
      <c r="A1210" s="4">
        <v>41926.368541666663</v>
      </c>
      <c r="B1210" s="2" t="s">
        <v>3253</v>
      </c>
      <c r="C1210" s="2" t="s">
        <v>5</v>
      </c>
      <c r="D1210" s="2" t="str">
        <f>"9780857003874"</f>
        <v>9780857003874</v>
      </c>
      <c r="E1210" s="2">
        <v>677658</v>
      </c>
    </row>
    <row r="1211" spans="1:5" x14ac:dyDescent="0.25">
      <c r="A1211" s="4">
        <v>41925.819745370369</v>
      </c>
      <c r="B1211" s="2" t="s">
        <v>3263</v>
      </c>
      <c r="C1211" s="2" t="s">
        <v>36</v>
      </c>
      <c r="D1211" s="2" t="str">
        <f>"9781476604596"</f>
        <v>9781476604596</v>
      </c>
      <c r="E1211" s="2">
        <v>1543475</v>
      </c>
    </row>
    <row r="1212" spans="1:5" x14ac:dyDescent="0.25">
      <c r="A1212" s="4">
        <v>41925.423726851855</v>
      </c>
      <c r="B1212" s="2" t="s">
        <v>3279</v>
      </c>
      <c r="C1212" s="2" t="s">
        <v>28</v>
      </c>
      <c r="D1212" s="2" t="str">
        <f>"9780253011855"</f>
        <v>9780253011855</v>
      </c>
      <c r="E1212" s="2">
        <v>1605199</v>
      </c>
    </row>
    <row r="1213" spans="1:5" x14ac:dyDescent="0.25">
      <c r="A1213" s="4">
        <v>41930.740081018521</v>
      </c>
      <c r="B1213" s="2" t="s">
        <v>3151</v>
      </c>
      <c r="C1213" s="2" t="s">
        <v>119</v>
      </c>
      <c r="D1213" s="2" t="str">
        <f>"9780520959828"</f>
        <v>9780520959828</v>
      </c>
      <c r="E1213" s="2">
        <v>1710990</v>
      </c>
    </row>
    <row r="1214" spans="1:5" x14ac:dyDescent="0.25">
      <c r="A1214" s="4">
        <v>41994.90824074074</v>
      </c>
      <c r="B1214" s="2" t="s">
        <v>178</v>
      </c>
      <c r="C1214" s="2" t="s">
        <v>26</v>
      </c>
      <c r="D1214" s="2" t="str">
        <f>"9781444345520"</f>
        <v>9781444345520</v>
      </c>
      <c r="E1214" s="2">
        <v>819318</v>
      </c>
    </row>
    <row r="1215" spans="1:5" x14ac:dyDescent="0.25">
      <c r="A1215" s="4">
        <v>41994.885046296295</v>
      </c>
      <c r="B1215" s="2" t="s">
        <v>1976</v>
      </c>
      <c r="C1215" s="2" t="s">
        <v>18</v>
      </c>
      <c r="D1215" s="2" t="str">
        <f>"9781472520128"</f>
        <v>9781472520128</v>
      </c>
      <c r="E1215" s="2">
        <v>1572205</v>
      </c>
    </row>
    <row r="1216" spans="1:5" x14ac:dyDescent="0.25">
      <c r="A1216" s="4">
        <v>41975.013622685183</v>
      </c>
      <c r="B1216" s="2" t="s">
        <v>2878</v>
      </c>
      <c r="C1216" s="2" t="s">
        <v>18</v>
      </c>
      <c r="D1216" s="2" t="str">
        <f>"9780857852137"</f>
        <v>9780857852137</v>
      </c>
      <c r="E1216" s="2">
        <v>1335917</v>
      </c>
    </row>
    <row r="1217" spans="1:5" x14ac:dyDescent="0.25">
      <c r="A1217" s="4">
        <v>41976.574791666666</v>
      </c>
      <c r="B1217" s="2" t="s">
        <v>2676</v>
      </c>
      <c r="C1217" s="2" t="s">
        <v>18</v>
      </c>
      <c r="D1217" s="2" t="str">
        <f>"9780857854261"</f>
        <v>9780857854261</v>
      </c>
      <c r="E1217" s="2">
        <v>1334383</v>
      </c>
    </row>
    <row r="1218" spans="1:5" x14ac:dyDescent="0.25">
      <c r="A1218" s="4">
        <v>41983.528865740744</v>
      </c>
      <c r="B1218" s="2" t="s">
        <v>2405</v>
      </c>
      <c r="C1218" s="2" t="s">
        <v>18</v>
      </c>
      <c r="D1218" s="2" t="str">
        <f>"9780857853080"</f>
        <v>9780857853080</v>
      </c>
      <c r="E1218" s="2">
        <v>1569360</v>
      </c>
    </row>
    <row r="1219" spans="1:5" x14ac:dyDescent="0.25">
      <c r="A1219" s="4">
        <v>41923.855925925927</v>
      </c>
      <c r="B1219" s="2" t="s">
        <v>3301</v>
      </c>
      <c r="C1219" s="2" t="s">
        <v>28</v>
      </c>
      <c r="D1219" s="2" t="str">
        <f>"9780253111043"</f>
        <v>9780253111043</v>
      </c>
      <c r="E1219" s="2">
        <v>252412</v>
      </c>
    </row>
    <row r="1220" spans="1:5" x14ac:dyDescent="0.25">
      <c r="A1220" s="4">
        <v>41994.885034722225</v>
      </c>
      <c r="B1220" s="2" t="s">
        <v>2009</v>
      </c>
      <c r="C1220" s="2" t="s">
        <v>18</v>
      </c>
      <c r="D1220" s="2" t="str">
        <f>"9780857853103"</f>
        <v>9780857853103</v>
      </c>
      <c r="E1220" s="2">
        <v>1274363</v>
      </c>
    </row>
    <row r="1221" spans="1:5" x14ac:dyDescent="0.25">
      <c r="A1221" s="4">
        <v>41912.6325462963</v>
      </c>
      <c r="B1221" s="2" t="s">
        <v>3555</v>
      </c>
      <c r="C1221" s="2" t="s">
        <v>119</v>
      </c>
      <c r="D1221" s="2" t="str">
        <f>"9780520955097"</f>
        <v>9780520955097</v>
      </c>
      <c r="E1221" s="2">
        <v>1092959</v>
      </c>
    </row>
    <row r="1222" spans="1:5" x14ac:dyDescent="0.25">
      <c r="A1222" s="4">
        <v>41994.899085648147</v>
      </c>
      <c r="B1222" s="2" t="s">
        <v>1290</v>
      </c>
      <c r="C1222" s="2" t="s">
        <v>63</v>
      </c>
      <c r="D1222" s="2" t="str">
        <f>"9781400839803"</f>
        <v>9781400839803</v>
      </c>
      <c r="E1222" s="2">
        <v>729951</v>
      </c>
    </row>
    <row r="1223" spans="1:5" x14ac:dyDescent="0.25">
      <c r="A1223" s="4">
        <v>41928.727673611109</v>
      </c>
      <c r="B1223" s="2" t="s">
        <v>1290</v>
      </c>
      <c r="C1223" s="2" t="s">
        <v>63</v>
      </c>
      <c r="D1223" s="2" t="str">
        <f>"9781400834211"</f>
        <v>9781400834211</v>
      </c>
      <c r="E1223" s="2">
        <v>544782</v>
      </c>
    </row>
    <row r="1224" spans="1:5" x14ac:dyDescent="0.25">
      <c r="A1224" s="4">
        <v>41994.899143518516</v>
      </c>
      <c r="B1224" s="2" t="s">
        <v>1075</v>
      </c>
      <c r="C1224" s="2" t="s">
        <v>63</v>
      </c>
      <c r="D1224" s="2" t="str">
        <f>"9781400851676"</f>
        <v>9781400851676</v>
      </c>
      <c r="E1224" s="2">
        <v>1651873</v>
      </c>
    </row>
    <row r="1225" spans="1:5" x14ac:dyDescent="0.25">
      <c r="A1225" s="4">
        <v>41983.79791666667</v>
      </c>
      <c r="B1225" s="2" t="s">
        <v>2390</v>
      </c>
      <c r="C1225" s="2" t="s">
        <v>63</v>
      </c>
      <c r="D1225" s="2" t="str">
        <f>"9781400846160"</f>
        <v>9781400846160</v>
      </c>
      <c r="E1225" s="2">
        <v>1114877</v>
      </c>
    </row>
    <row r="1226" spans="1:5" x14ac:dyDescent="0.25">
      <c r="A1226" s="4">
        <v>41994.89912037037</v>
      </c>
      <c r="B1226" s="2" t="s">
        <v>1172</v>
      </c>
      <c r="C1226" s="2" t="s">
        <v>63</v>
      </c>
      <c r="D1226" s="2" t="str">
        <f>"9781400847471"</f>
        <v>9781400847471</v>
      </c>
      <c r="E1226" s="2">
        <v>1144729</v>
      </c>
    </row>
    <row r="1227" spans="1:5" x14ac:dyDescent="0.25">
      <c r="A1227" s="4">
        <v>41994.905601851853</v>
      </c>
      <c r="B1227" s="2" t="s">
        <v>516</v>
      </c>
      <c r="C1227" s="2" t="s">
        <v>424</v>
      </c>
      <c r="D1227" s="2" t="str">
        <f>"9780807863978"</f>
        <v>9780807863978</v>
      </c>
      <c r="E1227" s="2">
        <v>880362</v>
      </c>
    </row>
    <row r="1228" spans="1:5" x14ac:dyDescent="0.25">
      <c r="A1228" s="4">
        <v>41924.894571759258</v>
      </c>
      <c r="B1228" s="2" t="s">
        <v>3288</v>
      </c>
      <c r="C1228" s="2" t="s">
        <v>26</v>
      </c>
      <c r="D1228" s="2" t="str">
        <f>"9780471436706"</f>
        <v>9780471436706</v>
      </c>
      <c r="E1228" s="2">
        <v>695098</v>
      </c>
    </row>
    <row r="1229" spans="1:5" x14ac:dyDescent="0.25">
      <c r="A1229" s="4">
        <v>41924.537881944445</v>
      </c>
      <c r="B1229" s="2" t="s">
        <v>3296</v>
      </c>
      <c r="C1229" s="2" t="s">
        <v>63</v>
      </c>
      <c r="D1229" s="2" t="str">
        <f>"9781400824731"</f>
        <v>9781400824731</v>
      </c>
      <c r="E1229" s="2">
        <v>445484</v>
      </c>
    </row>
    <row r="1230" spans="1:5" x14ac:dyDescent="0.25">
      <c r="A1230" s="4">
        <v>41935.922488425924</v>
      </c>
      <c r="B1230" s="2" t="s">
        <v>3009</v>
      </c>
      <c r="C1230" s="2" t="s">
        <v>2170</v>
      </c>
      <c r="D1230" s="2" t="str">
        <f>"9781780329130"</f>
        <v>9781780329130</v>
      </c>
      <c r="E1230" s="2">
        <v>1758716</v>
      </c>
    </row>
    <row r="1231" spans="1:5" x14ac:dyDescent="0.25">
      <c r="A1231" s="4">
        <v>41974.864224537036</v>
      </c>
      <c r="B1231" s="2" t="s">
        <v>2905</v>
      </c>
      <c r="C1231" s="2" t="s">
        <v>2170</v>
      </c>
      <c r="D1231" s="2" t="str">
        <f>"9781848134768"</f>
        <v>9781848134768</v>
      </c>
      <c r="E1231" s="2">
        <v>625225</v>
      </c>
    </row>
    <row r="1232" spans="1:5" x14ac:dyDescent="0.25">
      <c r="A1232" s="4">
        <v>41994.896134259259</v>
      </c>
      <c r="B1232" s="2" t="s">
        <v>1534</v>
      </c>
      <c r="C1232" s="2" t="s">
        <v>28</v>
      </c>
      <c r="D1232" s="2" t="str">
        <f>"9780253001719"</f>
        <v>9780253001719</v>
      </c>
      <c r="E1232" s="2">
        <v>713702</v>
      </c>
    </row>
    <row r="1233" spans="1:5" x14ac:dyDescent="0.25">
      <c r="A1233" s="4">
        <v>41975.922708333332</v>
      </c>
      <c r="B1233" s="2" t="s">
        <v>2753</v>
      </c>
      <c r="C1233" s="2" t="s">
        <v>2170</v>
      </c>
      <c r="D1233" s="2" t="str">
        <f>"9781780325859"</f>
        <v>9781780325859</v>
      </c>
      <c r="E1233" s="2">
        <v>1696471</v>
      </c>
    </row>
    <row r="1234" spans="1:5" x14ac:dyDescent="0.25">
      <c r="A1234" s="4">
        <v>41994.878761574073</v>
      </c>
      <c r="B1234" s="2" t="s">
        <v>2172</v>
      </c>
      <c r="C1234" s="2" t="s">
        <v>2170</v>
      </c>
      <c r="D1234" s="2" t="str">
        <f>"9781780329659"</f>
        <v>9781780329659</v>
      </c>
      <c r="E1234" s="2">
        <v>1696473</v>
      </c>
    </row>
    <row r="1235" spans="1:5" x14ac:dyDescent="0.25">
      <c r="A1235" s="4">
        <v>41994.896122685182</v>
      </c>
      <c r="B1235" s="2" t="s">
        <v>1561</v>
      </c>
      <c r="C1235" s="2" t="s">
        <v>28</v>
      </c>
      <c r="D1235" s="2" t="str">
        <f>"9780253005182"</f>
        <v>9780253005182</v>
      </c>
      <c r="E1235" s="2">
        <v>670277</v>
      </c>
    </row>
    <row r="1236" spans="1:5" x14ac:dyDescent="0.25">
      <c r="A1236" s="4">
        <v>41994.892951388887</v>
      </c>
      <c r="B1236" s="2" t="s">
        <v>1635</v>
      </c>
      <c r="C1236" s="2" t="s">
        <v>16</v>
      </c>
      <c r="D1236" s="2" t="str">
        <f>"9781462515318"</f>
        <v>9781462515318</v>
      </c>
      <c r="E1236" s="2">
        <v>1655945</v>
      </c>
    </row>
    <row r="1237" spans="1:5" x14ac:dyDescent="0.25">
      <c r="A1237" s="4">
        <v>41935.404120370367</v>
      </c>
      <c r="B1237" s="2" t="s">
        <v>3036</v>
      </c>
      <c r="C1237" s="2" t="s">
        <v>74</v>
      </c>
      <c r="D1237" s="2" t="str">
        <f>"9781623561819"</f>
        <v>9781623561819</v>
      </c>
      <c r="E1237" s="2">
        <v>1224248</v>
      </c>
    </row>
    <row r="1238" spans="1:5" x14ac:dyDescent="0.25">
      <c r="A1238" s="4">
        <v>41976.497581018521</v>
      </c>
      <c r="B1238" s="2" t="s">
        <v>2698</v>
      </c>
      <c r="C1238" s="2" t="s">
        <v>63</v>
      </c>
      <c r="D1238" s="2" t="str">
        <f>"9781400854790"</f>
        <v>9781400854790</v>
      </c>
      <c r="E1238" s="2">
        <v>1701100</v>
      </c>
    </row>
    <row r="1239" spans="1:5" x14ac:dyDescent="0.25">
      <c r="A1239" s="4">
        <v>41994.905624999999</v>
      </c>
      <c r="B1239" s="2" t="s">
        <v>477</v>
      </c>
      <c r="C1239" s="2" t="s">
        <v>424</v>
      </c>
      <c r="D1239" s="2" t="str">
        <f>"9781469608181"</f>
        <v>9781469608181</v>
      </c>
      <c r="E1239" s="2">
        <v>1120510</v>
      </c>
    </row>
    <row r="1240" spans="1:5" x14ac:dyDescent="0.25">
      <c r="A1240" s="4">
        <v>41994.905613425923</v>
      </c>
      <c r="B1240" s="2" t="s">
        <v>487</v>
      </c>
      <c r="C1240" s="2" t="s">
        <v>30</v>
      </c>
      <c r="D1240" s="2" t="str">
        <f>"9781469607856"</f>
        <v>9781469607856</v>
      </c>
      <c r="E1240" s="2">
        <v>1068841</v>
      </c>
    </row>
    <row r="1241" spans="1:5" x14ac:dyDescent="0.25">
      <c r="A1241" s="4">
        <v>41994.908182870371</v>
      </c>
      <c r="B1241" s="2" t="s">
        <v>333</v>
      </c>
      <c r="C1241" s="2" t="s">
        <v>26</v>
      </c>
      <c r="D1241" s="2" t="str">
        <f>"9780470686041"</f>
        <v>9780470686041</v>
      </c>
      <c r="E1241" s="2">
        <v>480463</v>
      </c>
    </row>
    <row r="1242" spans="1:5" x14ac:dyDescent="0.25">
      <c r="A1242" s="4">
        <v>41994.899050925924</v>
      </c>
      <c r="B1242" s="2" t="s">
        <v>1395</v>
      </c>
      <c r="C1242" s="2" t="s">
        <v>63</v>
      </c>
      <c r="D1242" s="2" t="str">
        <f>"9781400831029"</f>
        <v>9781400831029</v>
      </c>
      <c r="E1242" s="2">
        <v>475868</v>
      </c>
    </row>
    <row r="1243" spans="1:5" x14ac:dyDescent="0.25">
      <c r="A1243" s="4">
        <v>41994.905590277776</v>
      </c>
      <c r="B1243" s="2" t="s">
        <v>570</v>
      </c>
      <c r="C1243" s="2" t="s">
        <v>96</v>
      </c>
      <c r="D1243" s="2" t="str">
        <f>"9780807877876"</f>
        <v>9780807877876</v>
      </c>
      <c r="E1243" s="2">
        <v>680720</v>
      </c>
    </row>
    <row r="1244" spans="1:5" x14ac:dyDescent="0.25">
      <c r="A1244" s="4">
        <v>41994.901990740742</v>
      </c>
      <c r="B1244" s="2" t="s">
        <v>738</v>
      </c>
      <c r="C1244" s="2" t="s">
        <v>119</v>
      </c>
      <c r="D1244" s="2" t="str">
        <f>"9780520954083"</f>
        <v>9780520954083</v>
      </c>
      <c r="E1244" s="2">
        <v>1074414</v>
      </c>
    </row>
    <row r="1245" spans="1:5" x14ac:dyDescent="0.25">
      <c r="A1245" s="4">
        <v>41978.569976851853</v>
      </c>
      <c r="B1245" s="2" t="s">
        <v>2567</v>
      </c>
      <c r="C1245" s="2" t="s">
        <v>2283</v>
      </c>
      <c r="D1245" s="2" t="str">
        <f>"9789027296078"</f>
        <v>9789027296078</v>
      </c>
      <c r="E1245" s="2">
        <v>622563</v>
      </c>
    </row>
    <row r="1246" spans="1:5" x14ac:dyDescent="0.25">
      <c r="A1246" s="4">
        <v>43139.668437499997</v>
      </c>
      <c r="B1246" s="2" t="s">
        <v>107</v>
      </c>
      <c r="C1246" s="2" t="s">
        <v>36</v>
      </c>
      <c r="D1246" s="2" t="str">
        <f>"9781476630120"</f>
        <v>9781476630120</v>
      </c>
      <c r="E1246" s="2">
        <v>5145592</v>
      </c>
    </row>
    <row r="1247" spans="1:5" x14ac:dyDescent="0.25">
      <c r="A1247" s="4">
        <v>41994.902013888888</v>
      </c>
      <c r="B1247" s="2" t="s">
        <v>667</v>
      </c>
      <c r="C1247" s="2" t="s">
        <v>119</v>
      </c>
      <c r="D1247" s="2" t="str">
        <f>"9780520957411"</f>
        <v>9780520957411</v>
      </c>
      <c r="E1247" s="2">
        <v>1650802</v>
      </c>
    </row>
    <row r="1248" spans="1:5" x14ac:dyDescent="0.25">
      <c r="A1248" s="4">
        <v>41974.638657407406</v>
      </c>
      <c r="B1248" s="2" t="s">
        <v>2941</v>
      </c>
      <c r="C1248" s="2" t="s">
        <v>72</v>
      </c>
      <c r="D1248" s="2" t="str">
        <f>"9780748630318"</f>
        <v>9780748630318</v>
      </c>
      <c r="E1248" s="2">
        <v>434301</v>
      </c>
    </row>
    <row r="1249" spans="1:5" x14ac:dyDescent="0.25">
      <c r="A1249" s="4">
        <v>41988.049768518518</v>
      </c>
      <c r="B1249" s="2" t="s">
        <v>2302</v>
      </c>
      <c r="C1249" s="2" t="s">
        <v>119</v>
      </c>
      <c r="D1249" s="2" t="str">
        <f>"9780520960015"</f>
        <v>9780520960015</v>
      </c>
      <c r="E1249" s="2">
        <v>1732136</v>
      </c>
    </row>
    <row r="1250" spans="1:5" x14ac:dyDescent="0.25">
      <c r="A1250" s="4">
        <v>41994.884976851848</v>
      </c>
      <c r="B1250" s="2" t="s">
        <v>2148</v>
      </c>
      <c r="C1250" s="2" t="s">
        <v>18</v>
      </c>
      <c r="D1250" s="2" t="str">
        <f>"9781441116338"</f>
        <v>9781441116338</v>
      </c>
      <c r="E1250" s="2">
        <v>472781</v>
      </c>
    </row>
    <row r="1251" spans="1:5" x14ac:dyDescent="0.25">
      <c r="A1251" s="4">
        <v>41894.341944444444</v>
      </c>
      <c r="B1251" s="2" t="s">
        <v>3877</v>
      </c>
      <c r="C1251" s="2" t="s">
        <v>26</v>
      </c>
      <c r="D1251" s="2" t="str">
        <f>"9780470446249"</f>
        <v>9780470446249</v>
      </c>
      <c r="E1251" s="2">
        <v>380484</v>
      </c>
    </row>
    <row r="1252" spans="1:5" x14ac:dyDescent="0.25">
      <c r="A1252" s="4">
        <v>41982.392511574071</v>
      </c>
      <c r="B1252" s="2" t="s">
        <v>2450</v>
      </c>
      <c r="C1252" s="2" t="s">
        <v>74</v>
      </c>
      <c r="D1252" s="2" t="str">
        <f>"9781623563790"</f>
        <v>9781623563790</v>
      </c>
      <c r="E1252" s="2">
        <v>1580822</v>
      </c>
    </row>
    <row r="1253" spans="1:5" x14ac:dyDescent="0.25">
      <c r="A1253" s="4">
        <v>41994.89912037037</v>
      </c>
      <c r="B1253" s="2" t="s">
        <v>1170</v>
      </c>
      <c r="C1253" s="2" t="s">
        <v>63</v>
      </c>
      <c r="D1253" s="2" t="str">
        <f>"9781400846177"</f>
        <v>9781400846177</v>
      </c>
      <c r="E1253" s="2">
        <v>1158354</v>
      </c>
    </row>
    <row r="1254" spans="1:5" x14ac:dyDescent="0.25">
      <c r="A1254" s="4">
        <v>41982.812048611115</v>
      </c>
      <c r="B1254" s="2" t="s">
        <v>2424</v>
      </c>
      <c r="C1254" s="2" t="s">
        <v>26</v>
      </c>
      <c r="D1254" s="2" t="str">
        <f>"9781118113981"</f>
        <v>9781118113981</v>
      </c>
      <c r="E1254" s="2">
        <v>697696</v>
      </c>
    </row>
    <row r="1255" spans="1:5" x14ac:dyDescent="0.25">
      <c r="A1255" s="4">
        <v>41994.899155092593</v>
      </c>
      <c r="B1255" s="2" t="s">
        <v>1045</v>
      </c>
      <c r="C1255" s="2" t="s">
        <v>63</v>
      </c>
      <c r="D1255" s="2" t="str">
        <f>"9781400865376"</f>
        <v>9781400865376</v>
      </c>
      <c r="E1255" s="2">
        <v>1831352</v>
      </c>
    </row>
    <row r="1256" spans="1:5" x14ac:dyDescent="0.25">
      <c r="A1256" s="4">
        <v>42045.691886574074</v>
      </c>
      <c r="B1256" s="2" t="s">
        <v>2251</v>
      </c>
      <c r="C1256" s="2" t="s">
        <v>26</v>
      </c>
      <c r="D1256" s="2" t="str">
        <f>"9780470089897"</f>
        <v>9780470089897</v>
      </c>
      <c r="E1256" s="2">
        <v>292473</v>
      </c>
    </row>
    <row r="1257" spans="1:5" x14ac:dyDescent="0.25">
      <c r="A1257" s="4">
        <v>41891.64371527778</v>
      </c>
      <c r="B1257" s="2" t="s">
        <v>2251</v>
      </c>
      <c r="C1257" s="2" t="s">
        <v>26</v>
      </c>
      <c r="D1257" s="2" t="str">
        <f>"9780470089897"</f>
        <v>9780470089897</v>
      </c>
      <c r="E1257" s="2">
        <v>292473</v>
      </c>
    </row>
    <row r="1258" spans="1:5" x14ac:dyDescent="0.25">
      <c r="A1258" s="4">
        <v>41976.468599537038</v>
      </c>
      <c r="B1258" s="2" t="s">
        <v>2707</v>
      </c>
      <c r="C1258" s="2" t="s">
        <v>26</v>
      </c>
      <c r="D1258" s="2" t="str">
        <f>"9781118064184"</f>
        <v>9781118064184</v>
      </c>
      <c r="E1258" s="2">
        <v>693253</v>
      </c>
    </row>
    <row r="1259" spans="1:5" x14ac:dyDescent="0.25">
      <c r="A1259" s="4">
        <v>41994.885046296295</v>
      </c>
      <c r="B1259" s="2" t="s">
        <v>1964</v>
      </c>
      <c r="C1259" s="2" t="s">
        <v>18</v>
      </c>
      <c r="D1259" s="2" t="str">
        <f>"9781780935607"</f>
        <v>9781780935607</v>
      </c>
      <c r="E1259" s="2">
        <v>1609907</v>
      </c>
    </row>
    <row r="1260" spans="1:5" x14ac:dyDescent="0.25">
      <c r="A1260" s="4">
        <v>41994.899062500001</v>
      </c>
      <c r="B1260" s="2" t="s">
        <v>1378</v>
      </c>
      <c r="C1260" s="2" t="s">
        <v>63</v>
      </c>
      <c r="D1260" s="2" t="str">
        <f>"9781400822836"</f>
        <v>9781400822836</v>
      </c>
      <c r="E1260" s="2">
        <v>537654</v>
      </c>
    </row>
    <row r="1261" spans="1:5" x14ac:dyDescent="0.25">
      <c r="A1261" s="4">
        <v>41994.908229166664</v>
      </c>
      <c r="B1261" s="2" t="s">
        <v>230</v>
      </c>
      <c r="C1261" s="2" t="s">
        <v>26</v>
      </c>
      <c r="D1261" s="2" t="str">
        <f>"9781118057971"</f>
        <v>9781118057971</v>
      </c>
      <c r="E1261" s="2">
        <v>699464</v>
      </c>
    </row>
    <row r="1262" spans="1:5" x14ac:dyDescent="0.25">
      <c r="A1262" s="4">
        <v>41911.720486111109</v>
      </c>
      <c r="B1262" s="2" t="s">
        <v>3587</v>
      </c>
      <c r="C1262" s="2" t="s">
        <v>26</v>
      </c>
      <c r="D1262" s="2" t="str">
        <f>"9780470608760"</f>
        <v>9780470608760</v>
      </c>
      <c r="E1262" s="2">
        <v>487703</v>
      </c>
    </row>
    <row r="1263" spans="1:5" x14ac:dyDescent="0.25">
      <c r="A1263" s="4">
        <v>41994.899108796293</v>
      </c>
      <c r="B1263" s="2" t="s">
        <v>1219</v>
      </c>
      <c r="C1263" s="2" t="s">
        <v>63</v>
      </c>
      <c r="D1263" s="2" t="str">
        <f>"9781400845323"</f>
        <v>9781400845323</v>
      </c>
      <c r="E1263" s="2">
        <v>994842</v>
      </c>
    </row>
    <row r="1264" spans="1:5" x14ac:dyDescent="0.25">
      <c r="A1264" s="4">
        <v>41976.585104166668</v>
      </c>
      <c r="B1264" s="2" t="s">
        <v>2672</v>
      </c>
      <c r="C1264" s="2" t="s">
        <v>424</v>
      </c>
      <c r="D1264" s="2" t="str">
        <f>"9781469618012"</f>
        <v>9781469618012</v>
      </c>
      <c r="E1264" s="2">
        <v>1775389</v>
      </c>
    </row>
    <row r="1265" spans="1:5" x14ac:dyDescent="0.25">
      <c r="A1265" s="4">
        <v>41921.791215277779</v>
      </c>
      <c r="B1265" s="2" t="s">
        <v>3334</v>
      </c>
      <c r="C1265" s="2" t="s">
        <v>26</v>
      </c>
      <c r="D1265" s="2" t="str">
        <f>"9780470371510"</f>
        <v>9780470371510</v>
      </c>
      <c r="E1265" s="2">
        <v>353458</v>
      </c>
    </row>
    <row r="1266" spans="1:5" x14ac:dyDescent="0.25">
      <c r="A1266" s="4">
        <v>41927.831319444442</v>
      </c>
      <c r="B1266" s="2" t="s">
        <v>3210</v>
      </c>
      <c r="C1266" s="2" t="s">
        <v>2404</v>
      </c>
      <c r="D1266" s="2" t="str">
        <f>"9780335230280"</f>
        <v>9780335230280</v>
      </c>
      <c r="E1266" s="2">
        <v>316328</v>
      </c>
    </row>
    <row r="1267" spans="1:5" x14ac:dyDescent="0.25">
      <c r="A1267" s="4">
        <v>41994.892893518518</v>
      </c>
      <c r="B1267" s="2" t="s">
        <v>1778</v>
      </c>
      <c r="C1267" s="2" t="s">
        <v>16</v>
      </c>
      <c r="D1267" s="2" t="str">
        <f>"9781606230503"</f>
        <v>9781606230503</v>
      </c>
      <c r="E1267" s="2">
        <v>352278</v>
      </c>
    </row>
    <row r="1268" spans="1:5" x14ac:dyDescent="0.25">
      <c r="A1268" s="4">
        <v>41984.563136574077</v>
      </c>
      <c r="B1268" s="2" t="s">
        <v>2367</v>
      </c>
      <c r="C1268" s="2" t="s">
        <v>2283</v>
      </c>
      <c r="D1268" s="2" t="str">
        <f>"9789027271952"</f>
        <v>9789027271952</v>
      </c>
      <c r="E1268" s="2">
        <v>1181956</v>
      </c>
    </row>
    <row r="1269" spans="1:5" x14ac:dyDescent="0.25">
      <c r="A1269" s="4">
        <v>41905.512291666666</v>
      </c>
      <c r="B1269" s="2" t="s">
        <v>3742</v>
      </c>
      <c r="C1269" s="2" t="s">
        <v>26</v>
      </c>
      <c r="D1269" s="2" t="str">
        <f>"9781118000526"</f>
        <v>9781118000526</v>
      </c>
      <c r="E1269" s="2">
        <v>818692</v>
      </c>
    </row>
    <row r="1270" spans="1:5" x14ac:dyDescent="0.25">
      <c r="A1270" s="4">
        <v>41896.579155092593</v>
      </c>
      <c r="B1270" s="2" t="s">
        <v>3876</v>
      </c>
      <c r="C1270" s="2" t="s">
        <v>16</v>
      </c>
      <c r="D1270" s="2" t="str">
        <f>"9781609181444"</f>
        <v>9781609181444</v>
      </c>
      <c r="E1270" s="2">
        <v>674984</v>
      </c>
    </row>
    <row r="1271" spans="1:5" x14ac:dyDescent="0.25">
      <c r="A1271" s="4">
        <v>41931.580717592595</v>
      </c>
      <c r="B1271" s="2" t="s">
        <v>3143</v>
      </c>
      <c r="C1271" s="2" t="s">
        <v>26</v>
      </c>
      <c r="D1271" s="2" t="str">
        <f>"9781118133941"</f>
        <v>9781118133941</v>
      </c>
      <c r="E1271" s="2">
        <v>697643</v>
      </c>
    </row>
    <row r="1272" spans="1:5" x14ac:dyDescent="0.25">
      <c r="A1272" s="4">
        <v>42129.052997685183</v>
      </c>
      <c r="B1272" s="2" t="s">
        <v>2235</v>
      </c>
      <c r="C1272" s="2" t="s">
        <v>205</v>
      </c>
      <c r="D1272" s="2" t="str">
        <f>"9781118000854"</f>
        <v>9781118000854</v>
      </c>
      <c r="E1272" s="2">
        <v>661497</v>
      </c>
    </row>
    <row r="1273" spans="1:5" x14ac:dyDescent="0.25">
      <c r="A1273" s="4">
        <v>41904.492465277777</v>
      </c>
      <c r="B1273" s="2" t="s">
        <v>2235</v>
      </c>
      <c r="C1273" s="2" t="s">
        <v>205</v>
      </c>
      <c r="D1273" s="2" t="str">
        <f>"9781118000854"</f>
        <v>9781118000854</v>
      </c>
      <c r="E1273" s="2">
        <v>661497</v>
      </c>
    </row>
    <row r="1274" spans="1:5" x14ac:dyDescent="0.25">
      <c r="A1274" s="4">
        <v>41994.892928240741</v>
      </c>
      <c r="B1274" s="2" t="s">
        <v>1687</v>
      </c>
      <c r="C1274" s="2" t="s">
        <v>16</v>
      </c>
      <c r="D1274" s="2" t="str">
        <f>"9781462504428"</f>
        <v>9781462504428</v>
      </c>
      <c r="E1274" s="2">
        <v>886773</v>
      </c>
    </row>
    <row r="1275" spans="1:5" x14ac:dyDescent="0.25">
      <c r="A1275" s="4">
        <v>41929.701249999998</v>
      </c>
      <c r="B1275" s="2" t="s">
        <v>3165</v>
      </c>
      <c r="C1275" s="2" t="s">
        <v>26</v>
      </c>
      <c r="D1275" s="2" t="str">
        <f>"9780471171195"</f>
        <v>9780471171195</v>
      </c>
      <c r="E1275" s="2">
        <v>120899</v>
      </c>
    </row>
    <row r="1276" spans="1:5" x14ac:dyDescent="0.25">
      <c r="A1276" s="4">
        <v>41994.884965277779</v>
      </c>
      <c r="B1276" s="2" t="s">
        <v>2159</v>
      </c>
      <c r="C1276" s="2" t="s">
        <v>18</v>
      </c>
      <c r="D1276" s="2" t="str">
        <f>"9780826419200"</f>
        <v>9780826419200</v>
      </c>
      <c r="E1276" s="2">
        <v>436296</v>
      </c>
    </row>
    <row r="1277" spans="1:5" x14ac:dyDescent="0.25">
      <c r="A1277" s="4">
        <v>41994.901944444442</v>
      </c>
      <c r="B1277" s="2" t="s">
        <v>898</v>
      </c>
      <c r="C1277" s="2" t="s">
        <v>119</v>
      </c>
      <c r="D1277" s="2" t="str">
        <f>"9780520947658"</f>
        <v>9780520947658</v>
      </c>
      <c r="E1277" s="2">
        <v>615597</v>
      </c>
    </row>
    <row r="1278" spans="1:5" x14ac:dyDescent="0.25">
      <c r="A1278" s="4">
        <v>41974.472361111111</v>
      </c>
      <c r="B1278" s="2" t="s">
        <v>2980</v>
      </c>
      <c r="C1278" s="2" t="s">
        <v>26</v>
      </c>
      <c r="D1278" s="2" t="str">
        <f>"9780470765760"</f>
        <v>9780470765760</v>
      </c>
      <c r="E1278" s="2">
        <v>320079</v>
      </c>
    </row>
    <row r="1279" spans="1:5" x14ac:dyDescent="0.25">
      <c r="A1279" s="4">
        <v>41907.344513888886</v>
      </c>
      <c r="B1279" s="2" t="s">
        <v>3690</v>
      </c>
      <c r="C1279" s="2" t="s">
        <v>1934</v>
      </c>
      <c r="D1279" s="2" t="str">
        <f>"9781472902832"</f>
        <v>9781472902832</v>
      </c>
      <c r="E1279" s="2">
        <v>1688472</v>
      </c>
    </row>
    <row r="1280" spans="1:5" x14ac:dyDescent="0.25">
      <c r="A1280" s="4">
        <v>41994.902025462965</v>
      </c>
      <c r="B1280" s="2" t="s">
        <v>640</v>
      </c>
      <c r="C1280" s="2" t="s">
        <v>119</v>
      </c>
      <c r="D1280" s="2" t="str">
        <f>"9780520959347"</f>
        <v>9780520959347</v>
      </c>
      <c r="E1280" s="2">
        <v>1711036</v>
      </c>
    </row>
    <row r="1281" spans="1:5" x14ac:dyDescent="0.25">
      <c r="A1281" s="4">
        <v>41920.803576388891</v>
      </c>
      <c r="B1281" s="2" t="s">
        <v>3356</v>
      </c>
      <c r="C1281" s="2" t="s">
        <v>119</v>
      </c>
      <c r="D1281" s="2" t="str">
        <f>"9780520955066"</f>
        <v>9780520955066</v>
      </c>
      <c r="E1281" s="2">
        <v>1190428</v>
      </c>
    </row>
    <row r="1282" spans="1:5" x14ac:dyDescent="0.25">
      <c r="A1282" s="4">
        <v>41914.329317129632</v>
      </c>
      <c r="B1282" s="2" t="s">
        <v>3520</v>
      </c>
      <c r="C1282" s="2" t="s">
        <v>34</v>
      </c>
      <c r="D1282" s="2" t="str">
        <f>"9780851997513"</f>
        <v>9780851997513</v>
      </c>
      <c r="E1282" s="2">
        <v>295055</v>
      </c>
    </row>
    <row r="1283" spans="1:5" x14ac:dyDescent="0.25">
      <c r="A1283" s="4">
        <v>41994.908171296294</v>
      </c>
      <c r="B1283" s="2" t="s">
        <v>381</v>
      </c>
      <c r="C1283" s="2" t="s">
        <v>26</v>
      </c>
      <c r="D1283" s="2" t="str">
        <f>"9780470178577"</f>
        <v>9780470178577</v>
      </c>
      <c r="E1283" s="2">
        <v>319318</v>
      </c>
    </row>
    <row r="1284" spans="1:5" x14ac:dyDescent="0.25">
      <c r="A1284" s="4">
        <v>41994.889872685184</v>
      </c>
      <c r="B1284" s="2" t="s">
        <v>1886</v>
      </c>
      <c r="C1284" s="2" t="s">
        <v>72</v>
      </c>
      <c r="D1284" s="2" t="str">
        <f>"9780748643288"</f>
        <v>9780748643288</v>
      </c>
      <c r="E1284" s="2">
        <v>615827</v>
      </c>
    </row>
    <row r="1285" spans="1:5" x14ac:dyDescent="0.25">
      <c r="A1285" s="4">
        <v>41994.899097222224</v>
      </c>
      <c r="B1285" s="2" t="s">
        <v>1243</v>
      </c>
      <c r="C1285" s="2" t="s">
        <v>63</v>
      </c>
      <c r="D1285" s="2" t="str">
        <f>"9781400842223"</f>
        <v>9781400842223</v>
      </c>
      <c r="E1285" s="2">
        <v>864787</v>
      </c>
    </row>
    <row r="1286" spans="1:5" x14ac:dyDescent="0.25">
      <c r="A1286" s="4">
        <v>41994.908217592594</v>
      </c>
      <c r="B1286" s="2" t="s">
        <v>251</v>
      </c>
      <c r="C1286" s="2" t="s">
        <v>26</v>
      </c>
      <c r="D1286" s="2" t="str">
        <f>"9781118062227"</f>
        <v>9781118062227</v>
      </c>
      <c r="E1286" s="2">
        <v>697683</v>
      </c>
    </row>
    <row r="1287" spans="1:5" x14ac:dyDescent="0.25">
      <c r="A1287" s="4">
        <v>41935.44327546296</v>
      </c>
      <c r="B1287" s="2" t="s">
        <v>3035</v>
      </c>
      <c r="C1287" s="2" t="s">
        <v>26</v>
      </c>
      <c r="D1287" s="2" t="str">
        <f>"9781444319309"</f>
        <v>9781444319309</v>
      </c>
      <c r="E1287" s="2">
        <v>485642</v>
      </c>
    </row>
    <row r="1288" spans="1:5" x14ac:dyDescent="0.25">
      <c r="A1288" s="4">
        <v>41994.908182870371</v>
      </c>
      <c r="B1288" s="2" t="s">
        <v>334</v>
      </c>
      <c r="C1288" s="2" t="s">
        <v>26</v>
      </c>
      <c r="D1288" s="2" t="str">
        <f>"9780470570371"</f>
        <v>9780470570371</v>
      </c>
      <c r="E1288" s="2">
        <v>477766</v>
      </c>
    </row>
    <row r="1289" spans="1:5" x14ac:dyDescent="0.25">
      <c r="A1289" s="4">
        <v>41983.903437499997</v>
      </c>
      <c r="B1289" s="2" t="s">
        <v>2384</v>
      </c>
      <c r="C1289" s="2" t="s">
        <v>424</v>
      </c>
      <c r="D1289" s="2" t="str">
        <f>"9781469606750"</f>
        <v>9781469606750</v>
      </c>
      <c r="E1289" s="2">
        <v>934363</v>
      </c>
    </row>
    <row r="1290" spans="1:5" x14ac:dyDescent="0.25">
      <c r="A1290" s="4">
        <v>41994.905601851853</v>
      </c>
      <c r="B1290" s="2" t="s">
        <v>538</v>
      </c>
      <c r="C1290" s="2" t="s">
        <v>96</v>
      </c>
      <c r="D1290" s="2" t="str">
        <f>"9780807895979"</f>
        <v>9780807895979</v>
      </c>
      <c r="E1290" s="2">
        <v>837907</v>
      </c>
    </row>
    <row r="1291" spans="1:5" x14ac:dyDescent="0.25">
      <c r="A1291" s="4">
        <v>41994.905636574076</v>
      </c>
      <c r="B1291" s="2" t="s">
        <v>443</v>
      </c>
      <c r="C1291" s="2" t="s">
        <v>96</v>
      </c>
      <c r="D1291" s="2" t="str">
        <f>"9781469612638"</f>
        <v>9781469612638</v>
      </c>
      <c r="E1291" s="2">
        <v>1663541</v>
      </c>
    </row>
    <row r="1292" spans="1:5" x14ac:dyDescent="0.25">
      <c r="A1292" s="4">
        <v>41976.571956018517</v>
      </c>
      <c r="B1292" s="2" t="s">
        <v>2677</v>
      </c>
      <c r="C1292" s="2" t="s">
        <v>2283</v>
      </c>
      <c r="D1292" s="2" t="str">
        <f>"9789027295750"</f>
        <v>9789027295750</v>
      </c>
      <c r="E1292" s="2">
        <v>622575</v>
      </c>
    </row>
    <row r="1293" spans="1:5" x14ac:dyDescent="0.25">
      <c r="A1293" s="4">
        <v>41994.884976851848</v>
      </c>
      <c r="B1293" s="2" t="s">
        <v>2147</v>
      </c>
      <c r="C1293" s="2" t="s">
        <v>18</v>
      </c>
      <c r="D1293" s="2" t="str">
        <f>"9781441190215"</f>
        <v>9781441190215</v>
      </c>
      <c r="E1293" s="2">
        <v>472782</v>
      </c>
    </row>
    <row r="1294" spans="1:5" x14ac:dyDescent="0.25">
      <c r="A1294" s="4">
        <v>41994.885000000002</v>
      </c>
      <c r="B1294" s="2" t="s">
        <v>2094</v>
      </c>
      <c r="C1294" s="2" t="s">
        <v>18</v>
      </c>
      <c r="D1294" s="2" t="str">
        <f>"9780567510396"</f>
        <v>9780567510396</v>
      </c>
      <c r="E1294" s="2">
        <v>714130</v>
      </c>
    </row>
    <row r="1295" spans="1:5" x14ac:dyDescent="0.25">
      <c r="A1295" s="4">
        <v>41994.889930555553</v>
      </c>
      <c r="B1295" s="2" t="s">
        <v>1827</v>
      </c>
      <c r="C1295" s="2" t="s">
        <v>72</v>
      </c>
      <c r="D1295" s="2" t="str">
        <f>"9780748630387"</f>
        <v>9780748630387</v>
      </c>
      <c r="E1295" s="2">
        <v>1126606</v>
      </c>
    </row>
    <row r="1296" spans="1:5" x14ac:dyDescent="0.25">
      <c r="A1296" s="4">
        <v>41994.889930555553</v>
      </c>
      <c r="B1296" s="2" t="s">
        <v>1825</v>
      </c>
      <c r="C1296" s="2" t="s">
        <v>72</v>
      </c>
      <c r="D1296" s="2" t="str">
        <f>"9780748648917"</f>
        <v>9780748648917</v>
      </c>
      <c r="E1296" s="2">
        <v>1168200</v>
      </c>
    </row>
    <row r="1297" spans="1:5" x14ac:dyDescent="0.25">
      <c r="A1297" s="4">
        <v>41994.884988425925</v>
      </c>
      <c r="B1297" s="2" t="s">
        <v>2121</v>
      </c>
      <c r="C1297" s="2" t="s">
        <v>18</v>
      </c>
      <c r="D1297" s="2" t="str">
        <f>"9781441164841"</f>
        <v>9781441164841</v>
      </c>
      <c r="E1297" s="2">
        <v>601917</v>
      </c>
    </row>
    <row r="1298" spans="1:5" x14ac:dyDescent="0.25">
      <c r="A1298" s="4">
        <v>41994.884988425925</v>
      </c>
      <c r="B1298" s="2" t="s">
        <v>2117</v>
      </c>
      <c r="C1298" s="2" t="s">
        <v>18</v>
      </c>
      <c r="D1298" s="2" t="str">
        <f>"9781441177131"</f>
        <v>9781441177131</v>
      </c>
      <c r="E1298" s="2">
        <v>601968</v>
      </c>
    </row>
    <row r="1299" spans="1:5" x14ac:dyDescent="0.25">
      <c r="A1299" s="4">
        <v>41919.57104166667</v>
      </c>
      <c r="B1299" s="2" t="s">
        <v>3394</v>
      </c>
      <c r="C1299" s="2" t="s">
        <v>26</v>
      </c>
      <c r="D1299" s="2" t="str">
        <f>"9780470744642"</f>
        <v>9780470744642</v>
      </c>
      <c r="E1299" s="2">
        <v>427971</v>
      </c>
    </row>
    <row r="1300" spans="1:5" x14ac:dyDescent="0.25">
      <c r="A1300" s="4">
        <v>41994.908148148148</v>
      </c>
      <c r="B1300" s="2" t="s">
        <v>415</v>
      </c>
      <c r="C1300" s="2" t="s">
        <v>26</v>
      </c>
      <c r="D1300" s="2" t="str">
        <f>"9780787967918"</f>
        <v>9780787967918</v>
      </c>
      <c r="E1300" s="2">
        <v>151937</v>
      </c>
    </row>
    <row r="1301" spans="1:5" x14ac:dyDescent="0.25">
      <c r="A1301" s="4">
        <v>41915.671435185184</v>
      </c>
      <c r="B1301" s="2" t="s">
        <v>3491</v>
      </c>
      <c r="C1301" s="2" t="s">
        <v>63</v>
      </c>
      <c r="D1301" s="2" t="str">
        <f>"9781400839155"</f>
        <v>9781400839155</v>
      </c>
      <c r="E1301" s="2">
        <v>832709</v>
      </c>
    </row>
    <row r="1302" spans="1:5" x14ac:dyDescent="0.25">
      <c r="A1302" s="4">
        <v>41994.878738425927</v>
      </c>
      <c r="B1302" s="2" t="s">
        <v>2218</v>
      </c>
      <c r="C1302" s="2" t="s">
        <v>2170</v>
      </c>
      <c r="D1302" s="2" t="str">
        <f>"9781848131354"</f>
        <v>9781848131354</v>
      </c>
      <c r="E1302" s="2">
        <v>339213</v>
      </c>
    </row>
    <row r="1303" spans="1:5" x14ac:dyDescent="0.25">
      <c r="A1303" s="4">
        <v>41994.88989583333</v>
      </c>
      <c r="B1303" s="2" t="s">
        <v>1863</v>
      </c>
      <c r="C1303" s="2" t="s">
        <v>72</v>
      </c>
      <c r="D1303" s="2" t="str">
        <f>"9780748647033"</f>
        <v>9780748647033</v>
      </c>
      <c r="E1303" s="2">
        <v>744029</v>
      </c>
    </row>
    <row r="1304" spans="1:5" x14ac:dyDescent="0.25">
      <c r="A1304" s="4">
        <v>41994.896168981482</v>
      </c>
      <c r="B1304" s="2" t="s">
        <v>1474</v>
      </c>
      <c r="C1304" s="2" t="s">
        <v>28</v>
      </c>
      <c r="D1304" s="2" t="str">
        <f>"9780253008459"</f>
        <v>9780253008459</v>
      </c>
      <c r="E1304" s="2">
        <v>1211184</v>
      </c>
    </row>
    <row r="1305" spans="1:5" x14ac:dyDescent="0.25">
      <c r="A1305" s="4">
        <v>41994.899074074077</v>
      </c>
      <c r="B1305" s="2" t="s">
        <v>1339</v>
      </c>
      <c r="C1305" s="2" t="s">
        <v>63</v>
      </c>
      <c r="D1305" s="2" t="str">
        <f>"9781400828616"</f>
        <v>9781400828616</v>
      </c>
      <c r="E1305" s="2">
        <v>617585</v>
      </c>
    </row>
    <row r="1306" spans="1:5" x14ac:dyDescent="0.25">
      <c r="A1306" s="4">
        <v>41994.899155092593</v>
      </c>
      <c r="B1306" s="2" t="s">
        <v>1047</v>
      </c>
      <c r="C1306" s="2" t="s">
        <v>63</v>
      </c>
      <c r="D1306" s="2" t="str">
        <f>"9781400865352"</f>
        <v>9781400865352</v>
      </c>
      <c r="E1306" s="2">
        <v>1809371</v>
      </c>
    </row>
    <row r="1307" spans="1:5" x14ac:dyDescent="0.25">
      <c r="A1307" s="4">
        <v>41994.901932870373</v>
      </c>
      <c r="B1307" s="2" t="s">
        <v>939</v>
      </c>
      <c r="C1307" s="2" t="s">
        <v>119</v>
      </c>
      <c r="D1307" s="2" t="str">
        <f>"9780520944411"</f>
        <v>9780520944411</v>
      </c>
      <c r="E1307" s="2">
        <v>470968</v>
      </c>
    </row>
    <row r="1308" spans="1:5" x14ac:dyDescent="0.25">
      <c r="A1308" s="4">
        <v>41994.899097222224</v>
      </c>
      <c r="B1308" s="2" t="s">
        <v>1251</v>
      </c>
      <c r="C1308" s="2" t="s">
        <v>63</v>
      </c>
      <c r="D1308" s="2" t="str">
        <f>"9781400842391"</f>
        <v>9781400842391</v>
      </c>
      <c r="E1308" s="2">
        <v>842863</v>
      </c>
    </row>
    <row r="1309" spans="1:5" x14ac:dyDescent="0.25">
      <c r="A1309" s="4">
        <v>41909.383506944447</v>
      </c>
      <c r="B1309" s="2" t="s">
        <v>3634</v>
      </c>
      <c r="C1309" s="2" t="s">
        <v>63</v>
      </c>
      <c r="D1309" s="2" t="str">
        <f>"9781400830954"</f>
        <v>9781400830954</v>
      </c>
      <c r="E1309" s="2">
        <v>457835</v>
      </c>
    </row>
    <row r="1310" spans="1:5" x14ac:dyDescent="0.25">
      <c r="A1310" s="4">
        <v>41994.905624999999</v>
      </c>
      <c r="B1310" s="2" t="s">
        <v>471</v>
      </c>
      <c r="C1310" s="2" t="s">
        <v>96</v>
      </c>
      <c r="D1310" s="2" t="str">
        <f>"9781469611099"</f>
        <v>9781469611099</v>
      </c>
      <c r="E1310" s="2">
        <v>1275418</v>
      </c>
    </row>
    <row r="1311" spans="1:5" x14ac:dyDescent="0.25">
      <c r="A1311" s="4">
        <v>41994.899143518516</v>
      </c>
      <c r="B1311" s="2" t="s">
        <v>1079</v>
      </c>
      <c r="C1311" s="2" t="s">
        <v>63</v>
      </c>
      <c r="D1311" s="2" t="str">
        <f>"9781400851430"</f>
        <v>9781400851430</v>
      </c>
      <c r="E1311" s="2">
        <v>1642464</v>
      </c>
    </row>
    <row r="1312" spans="1:5" x14ac:dyDescent="0.25">
      <c r="A1312" s="4">
        <v>41975.430069444446</v>
      </c>
      <c r="B1312" s="2" t="s">
        <v>2852</v>
      </c>
      <c r="C1312" s="2" t="s">
        <v>419</v>
      </c>
      <c r="D1312" s="2" t="str">
        <f>"9780470614945"</f>
        <v>9780470614945</v>
      </c>
      <c r="E1312" s="2">
        <v>565043</v>
      </c>
    </row>
    <row r="1313" spans="1:5" x14ac:dyDescent="0.25">
      <c r="A1313" s="4">
        <v>43158.360023148147</v>
      </c>
      <c r="B1313" s="2" t="s">
        <v>86</v>
      </c>
      <c r="C1313" s="2" t="s">
        <v>28</v>
      </c>
      <c r="D1313" s="2" t="str">
        <f>"9780253017031"</f>
        <v>9780253017031</v>
      </c>
      <c r="E1313" s="2">
        <v>2069797</v>
      </c>
    </row>
    <row r="1314" spans="1:5" x14ac:dyDescent="0.25">
      <c r="A1314" s="4">
        <v>43158.360023148147</v>
      </c>
      <c r="B1314" s="2" t="s">
        <v>85</v>
      </c>
      <c r="C1314" s="2" t="s">
        <v>28</v>
      </c>
      <c r="D1314" s="2" t="str">
        <f>"9780253017024"</f>
        <v>9780253017024</v>
      </c>
      <c r="E1314" s="2">
        <v>2089418</v>
      </c>
    </row>
    <row r="1315" spans="1:5" x14ac:dyDescent="0.25">
      <c r="A1315" s="4">
        <v>41994.90824074074</v>
      </c>
      <c r="B1315" s="2" t="s">
        <v>181</v>
      </c>
      <c r="C1315" s="2" t="s">
        <v>26</v>
      </c>
      <c r="D1315" s="2" t="str">
        <f>"9781119960690"</f>
        <v>9781119960690</v>
      </c>
      <c r="E1315" s="2">
        <v>819202</v>
      </c>
    </row>
    <row r="1316" spans="1:5" x14ac:dyDescent="0.25">
      <c r="A1316" s="4">
        <v>41982.476307870369</v>
      </c>
      <c r="B1316" s="2" t="s">
        <v>2440</v>
      </c>
      <c r="C1316" s="2" t="s">
        <v>119</v>
      </c>
      <c r="D1316" s="2" t="str">
        <f>"9780520954793"</f>
        <v>9780520954793</v>
      </c>
      <c r="E1316" s="2">
        <v>1184054</v>
      </c>
    </row>
    <row r="1317" spans="1:5" x14ac:dyDescent="0.25">
      <c r="A1317" s="4">
        <v>41994.899143518516</v>
      </c>
      <c r="B1317" s="2" t="s">
        <v>1103</v>
      </c>
      <c r="C1317" s="2" t="s">
        <v>63</v>
      </c>
      <c r="D1317" s="2" t="str">
        <f>"9781400850938"</f>
        <v>9781400850938</v>
      </c>
      <c r="E1317" s="2">
        <v>1573476</v>
      </c>
    </row>
    <row r="1318" spans="1:5" x14ac:dyDescent="0.25">
      <c r="A1318" s="4">
        <v>41974.54886574074</v>
      </c>
      <c r="B1318" s="2" t="s">
        <v>2959</v>
      </c>
      <c r="C1318" s="2" t="s">
        <v>63</v>
      </c>
      <c r="D1318" s="2" t="str">
        <f>"9781400830596"</f>
        <v>9781400830596</v>
      </c>
      <c r="E1318" s="2">
        <v>815525</v>
      </c>
    </row>
    <row r="1319" spans="1:5" x14ac:dyDescent="0.25">
      <c r="A1319" s="4">
        <v>41994.901944444442</v>
      </c>
      <c r="B1319" s="2" t="s">
        <v>908</v>
      </c>
      <c r="C1319" s="2" t="s">
        <v>119</v>
      </c>
      <c r="D1319" s="2" t="str">
        <f>"9780520947887"</f>
        <v>9780520947887</v>
      </c>
      <c r="E1319" s="2">
        <v>581276</v>
      </c>
    </row>
    <row r="1320" spans="1:5" x14ac:dyDescent="0.25">
      <c r="A1320" s="4">
        <v>41994.892916666664</v>
      </c>
      <c r="B1320" s="2" t="s">
        <v>1710</v>
      </c>
      <c r="C1320" s="2" t="s">
        <v>16</v>
      </c>
      <c r="D1320" s="2" t="str">
        <f>"9781609186470"</f>
        <v>9781609186470</v>
      </c>
      <c r="E1320" s="2">
        <v>759906</v>
      </c>
    </row>
    <row r="1321" spans="1:5" x14ac:dyDescent="0.25">
      <c r="A1321" s="4">
        <v>41994.889872685184</v>
      </c>
      <c r="B1321" s="2" t="s">
        <v>1887</v>
      </c>
      <c r="C1321" s="2" t="s">
        <v>72</v>
      </c>
      <c r="D1321" s="2" t="str">
        <f>"9780748643264"</f>
        <v>9780748643264</v>
      </c>
      <c r="E1321" s="2">
        <v>615822</v>
      </c>
    </row>
    <row r="1322" spans="1:5" x14ac:dyDescent="0.25">
      <c r="A1322" s="4">
        <v>41994.901944444442</v>
      </c>
      <c r="B1322" s="2" t="s">
        <v>893</v>
      </c>
      <c r="C1322" s="2" t="s">
        <v>119</v>
      </c>
      <c r="D1322" s="2" t="str">
        <f>"9780520948174"</f>
        <v>9780520948174</v>
      </c>
      <c r="E1322" s="2">
        <v>631060</v>
      </c>
    </row>
    <row r="1323" spans="1:5" x14ac:dyDescent="0.25">
      <c r="A1323" s="4">
        <v>41994.905624999999</v>
      </c>
      <c r="B1323" s="2" t="s">
        <v>473</v>
      </c>
      <c r="C1323" s="2" t="s">
        <v>96</v>
      </c>
      <c r="D1323" s="2" t="str">
        <f>"9781469612553"</f>
        <v>9781469612553</v>
      </c>
      <c r="E1323" s="2">
        <v>1220628</v>
      </c>
    </row>
    <row r="1324" spans="1:5" x14ac:dyDescent="0.25">
      <c r="A1324" s="4">
        <v>41994.90556712963</v>
      </c>
      <c r="B1324" s="2" t="s">
        <v>617</v>
      </c>
      <c r="C1324" s="2" t="s">
        <v>424</v>
      </c>
      <c r="D1324" s="2" t="str">
        <f>"9780807860380"</f>
        <v>9780807860380</v>
      </c>
      <c r="E1324" s="2">
        <v>413339</v>
      </c>
    </row>
    <row r="1325" spans="1:5" x14ac:dyDescent="0.25">
      <c r="A1325" s="4">
        <v>41994.905590277776</v>
      </c>
      <c r="B1325" s="2" t="s">
        <v>577</v>
      </c>
      <c r="C1325" s="2" t="s">
        <v>96</v>
      </c>
      <c r="D1325" s="2" t="str">
        <f>"9780807899335"</f>
        <v>9780807899335</v>
      </c>
      <c r="E1325" s="2">
        <v>655809</v>
      </c>
    </row>
    <row r="1326" spans="1:5" x14ac:dyDescent="0.25">
      <c r="A1326" s="4">
        <v>41994.902025462965</v>
      </c>
      <c r="B1326" s="2" t="s">
        <v>633</v>
      </c>
      <c r="C1326" s="2" t="s">
        <v>119</v>
      </c>
      <c r="D1326" s="2" t="str">
        <f>"9780520958838"</f>
        <v>9780520958838</v>
      </c>
      <c r="E1326" s="2">
        <v>1711056</v>
      </c>
    </row>
    <row r="1327" spans="1:5" x14ac:dyDescent="0.25">
      <c r="A1327" s="4">
        <v>41994.878738425927</v>
      </c>
      <c r="B1327" s="2" t="s">
        <v>2228</v>
      </c>
      <c r="C1327" s="2" t="s">
        <v>2170</v>
      </c>
      <c r="D1327" s="2" t="str">
        <f>"9781848130661"</f>
        <v>9781848130661</v>
      </c>
      <c r="E1327" s="2">
        <v>332897</v>
      </c>
    </row>
    <row r="1328" spans="1:5" x14ac:dyDescent="0.25">
      <c r="A1328" s="4">
        <v>41994.892939814818</v>
      </c>
      <c r="B1328" s="2" t="s">
        <v>1646</v>
      </c>
      <c r="C1328" s="2" t="s">
        <v>16</v>
      </c>
      <c r="D1328" s="2" t="str">
        <f>"9781462511822"</f>
        <v>9781462511822</v>
      </c>
      <c r="E1328" s="2">
        <v>1367697</v>
      </c>
    </row>
    <row r="1329" spans="1:5" x14ac:dyDescent="0.25">
      <c r="A1329" s="4">
        <v>41994.902013888888</v>
      </c>
      <c r="B1329" s="2" t="s">
        <v>682</v>
      </c>
      <c r="C1329" s="2" t="s">
        <v>119</v>
      </c>
      <c r="D1329" s="2" t="str">
        <f>"9780520924505"</f>
        <v>9780520924505</v>
      </c>
      <c r="E1329" s="2">
        <v>1576638</v>
      </c>
    </row>
    <row r="1330" spans="1:5" x14ac:dyDescent="0.25">
      <c r="A1330" s="4">
        <v>43244.46802083333</v>
      </c>
      <c r="B1330" s="2" t="s">
        <v>21</v>
      </c>
      <c r="C1330" s="2" t="s">
        <v>5</v>
      </c>
      <c r="D1330" s="2" t="str">
        <f>"9781784500252"</f>
        <v>9781784500252</v>
      </c>
      <c r="E1330" s="2">
        <v>1931354</v>
      </c>
    </row>
    <row r="1331" spans="1:5" x14ac:dyDescent="0.25">
      <c r="A1331" s="4">
        <v>41994.901956018519</v>
      </c>
      <c r="B1331" s="2" t="s">
        <v>868</v>
      </c>
      <c r="C1331" s="2" t="s">
        <v>119</v>
      </c>
      <c r="D1331" s="2" t="str">
        <f>"9780520948297"</f>
        <v>9780520948297</v>
      </c>
      <c r="E1331" s="2">
        <v>685418</v>
      </c>
    </row>
    <row r="1332" spans="1:5" x14ac:dyDescent="0.25">
      <c r="A1332" s="4">
        <v>41930.739768518521</v>
      </c>
      <c r="B1332" s="2" t="s">
        <v>3152</v>
      </c>
      <c r="C1332" s="2" t="s">
        <v>26</v>
      </c>
      <c r="D1332" s="2" t="str">
        <f>"9780471233442"</f>
        <v>9780471233442</v>
      </c>
      <c r="E1332" s="2">
        <v>131006</v>
      </c>
    </row>
    <row r="1333" spans="1:5" x14ac:dyDescent="0.25">
      <c r="A1333" s="4">
        <v>41994.901979166665</v>
      </c>
      <c r="B1333" s="2" t="s">
        <v>774</v>
      </c>
      <c r="C1333" s="2" t="s">
        <v>119</v>
      </c>
      <c r="D1333" s="2" t="str">
        <f>"9780520951532"</f>
        <v>9780520951532</v>
      </c>
      <c r="E1333" s="2">
        <v>913761</v>
      </c>
    </row>
    <row r="1334" spans="1:5" x14ac:dyDescent="0.25">
      <c r="A1334" s="4">
        <v>41994.901979166665</v>
      </c>
      <c r="B1334" s="2" t="s">
        <v>785</v>
      </c>
      <c r="C1334" s="2" t="s">
        <v>119</v>
      </c>
      <c r="D1334" s="2" t="str">
        <f>"9780520951525"</f>
        <v>9780520951525</v>
      </c>
      <c r="E1334" s="2">
        <v>877903</v>
      </c>
    </row>
    <row r="1335" spans="1:5" x14ac:dyDescent="0.25">
      <c r="A1335" s="4">
        <v>41994.899108796293</v>
      </c>
      <c r="B1335" s="2" t="s">
        <v>1212</v>
      </c>
      <c r="C1335" s="2" t="s">
        <v>63</v>
      </c>
      <c r="D1335" s="2" t="str">
        <f>"9781400845385"</f>
        <v>9781400845385</v>
      </c>
      <c r="E1335" s="2">
        <v>1029096</v>
      </c>
    </row>
    <row r="1336" spans="1:5" x14ac:dyDescent="0.25">
      <c r="A1336" s="4">
        <v>41994.889930555553</v>
      </c>
      <c r="B1336" s="2" t="s">
        <v>1828</v>
      </c>
      <c r="C1336" s="2" t="s">
        <v>72</v>
      </c>
      <c r="D1336" s="2" t="str">
        <f>"9780748631759"</f>
        <v>9780748631759</v>
      </c>
      <c r="E1336" s="2">
        <v>1126604</v>
      </c>
    </row>
    <row r="1337" spans="1:5" x14ac:dyDescent="0.25">
      <c r="A1337" s="4">
        <v>43158.360023148147</v>
      </c>
      <c r="B1337" s="2" t="s">
        <v>87</v>
      </c>
      <c r="C1337" s="2" t="s">
        <v>28</v>
      </c>
      <c r="D1337" s="2" t="str">
        <f>"9780253015297"</f>
        <v>9780253015297</v>
      </c>
      <c r="E1337" s="2">
        <v>2010562</v>
      </c>
    </row>
    <row r="1338" spans="1:5" x14ac:dyDescent="0.25">
      <c r="A1338" s="4">
        <v>41994.896145833336</v>
      </c>
      <c r="B1338" s="2" t="s">
        <v>1505</v>
      </c>
      <c r="C1338" s="2" t="s">
        <v>28</v>
      </c>
      <c r="D1338" s="2" t="str">
        <f>"9780253007209"</f>
        <v>9780253007209</v>
      </c>
      <c r="E1338" s="2">
        <v>816881</v>
      </c>
    </row>
    <row r="1339" spans="1:5" x14ac:dyDescent="0.25">
      <c r="A1339" s="4">
        <v>41978.80060185185</v>
      </c>
      <c r="B1339" s="2" t="s">
        <v>2553</v>
      </c>
      <c r="C1339" s="2" t="s">
        <v>96</v>
      </c>
      <c r="D1339" s="2" t="str">
        <f>"9781469608174"</f>
        <v>9781469608174</v>
      </c>
      <c r="E1339" s="2">
        <v>1120511</v>
      </c>
    </row>
    <row r="1340" spans="1:5" x14ac:dyDescent="0.25">
      <c r="A1340" s="4">
        <v>41994.896087962959</v>
      </c>
      <c r="B1340" s="2" t="s">
        <v>1598</v>
      </c>
      <c r="C1340" s="2" t="s">
        <v>28</v>
      </c>
      <c r="D1340" s="2" t="str">
        <f>"9780253116925"</f>
        <v>9780253116925</v>
      </c>
      <c r="E1340" s="2">
        <v>334267</v>
      </c>
    </row>
    <row r="1341" spans="1:5" x14ac:dyDescent="0.25">
      <c r="A1341" s="4">
        <v>41994.901956018519</v>
      </c>
      <c r="B1341" s="2" t="s">
        <v>877</v>
      </c>
      <c r="C1341" s="2" t="s">
        <v>119</v>
      </c>
      <c r="D1341" s="2" t="str">
        <f>"9780520947573"</f>
        <v>9780520947573</v>
      </c>
      <c r="E1341" s="2">
        <v>674513</v>
      </c>
    </row>
    <row r="1342" spans="1:5" x14ac:dyDescent="0.25">
      <c r="A1342" s="4">
        <v>41926.359432870369</v>
      </c>
      <c r="B1342" s="2" t="s">
        <v>3254</v>
      </c>
      <c r="C1342" s="2" t="s">
        <v>119</v>
      </c>
      <c r="D1342" s="2" t="str">
        <f>"9780520953666"</f>
        <v>9780520953666</v>
      </c>
      <c r="E1342" s="2">
        <v>1014241</v>
      </c>
    </row>
    <row r="1343" spans="1:5" x14ac:dyDescent="0.25">
      <c r="A1343" s="4">
        <v>41994.901990740742</v>
      </c>
      <c r="B1343" s="2" t="s">
        <v>753</v>
      </c>
      <c r="C1343" s="2" t="s">
        <v>119</v>
      </c>
      <c r="D1343" s="2" t="str">
        <f>"9780520912489"</f>
        <v>9780520912489</v>
      </c>
      <c r="E1343" s="2">
        <v>977263</v>
      </c>
    </row>
    <row r="1344" spans="1:5" x14ac:dyDescent="0.25">
      <c r="A1344" s="4">
        <v>41974.504942129628</v>
      </c>
      <c r="B1344" s="2" t="s">
        <v>2971</v>
      </c>
      <c r="C1344" s="2" t="s">
        <v>160</v>
      </c>
      <c r="D1344" s="2" t="str">
        <f>"9780764556104"</f>
        <v>9780764556104</v>
      </c>
      <c r="E1344" s="2">
        <v>175967</v>
      </c>
    </row>
    <row r="1345" spans="1:5" x14ac:dyDescent="0.25">
      <c r="A1345" s="4">
        <v>41994.899155092593</v>
      </c>
      <c r="B1345" s="2" t="s">
        <v>1055</v>
      </c>
      <c r="C1345" s="2" t="s">
        <v>63</v>
      </c>
      <c r="D1345" s="2" t="str">
        <f>"9781400865079"</f>
        <v>9781400865079</v>
      </c>
      <c r="E1345" s="2">
        <v>1719829</v>
      </c>
    </row>
    <row r="1346" spans="1:5" x14ac:dyDescent="0.25">
      <c r="A1346" s="4">
        <v>43244.46802083333</v>
      </c>
      <c r="B1346" s="2" t="s">
        <v>24</v>
      </c>
      <c r="C1346" s="2" t="s">
        <v>5</v>
      </c>
      <c r="D1346" s="2" t="str">
        <f>"9780857010803"</f>
        <v>9780857010803</v>
      </c>
      <c r="E1346" s="2">
        <v>1630900</v>
      </c>
    </row>
    <row r="1347" spans="1:5" x14ac:dyDescent="0.25">
      <c r="A1347" s="4">
        <v>41813.594143518516</v>
      </c>
      <c r="B1347" s="2" t="s">
        <v>3996</v>
      </c>
      <c r="C1347" s="2" t="s">
        <v>26</v>
      </c>
      <c r="D1347" s="2" t="str">
        <f>"9781118156353"</f>
        <v>9781118156353</v>
      </c>
      <c r="E1347" s="2">
        <v>879001</v>
      </c>
    </row>
    <row r="1348" spans="1:5" x14ac:dyDescent="0.25">
      <c r="A1348" s="4">
        <v>41994.908217592594</v>
      </c>
      <c r="B1348" s="2" t="s">
        <v>270</v>
      </c>
      <c r="C1348" s="2" t="s">
        <v>26</v>
      </c>
      <c r="D1348" s="2" t="str">
        <f>"9780470829103"</f>
        <v>9780470829103</v>
      </c>
      <c r="E1348" s="2">
        <v>693331</v>
      </c>
    </row>
    <row r="1349" spans="1:5" x14ac:dyDescent="0.25">
      <c r="A1349" s="4">
        <v>41994.908194444448</v>
      </c>
      <c r="B1349" s="2" t="s">
        <v>307</v>
      </c>
      <c r="C1349" s="2" t="s">
        <v>160</v>
      </c>
      <c r="D1349" s="2" t="str">
        <f>"9781444392777"</f>
        <v>9781444392777</v>
      </c>
      <c r="E1349" s="2">
        <v>589230</v>
      </c>
    </row>
    <row r="1350" spans="1:5" x14ac:dyDescent="0.25">
      <c r="A1350" s="4">
        <v>43178.550115740742</v>
      </c>
      <c r="B1350" s="2" t="s">
        <v>76</v>
      </c>
      <c r="C1350" s="2" t="s">
        <v>26</v>
      </c>
      <c r="D1350" s="2" t="str">
        <f>"9781118705155"</f>
        <v>9781118705155</v>
      </c>
      <c r="E1350" s="2">
        <v>4497494</v>
      </c>
    </row>
    <row r="1351" spans="1:5" x14ac:dyDescent="0.25">
      <c r="A1351" s="4">
        <v>41994.901932870373</v>
      </c>
      <c r="B1351" s="2" t="s">
        <v>955</v>
      </c>
      <c r="C1351" s="2" t="s">
        <v>119</v>
      </c>
      <c r="D1351" s="2" t="str">
        <f>"9780520940994"</f>
        <v>9780520940994</v>
      </c>
      <c r="E1351" s="2">
        <v>318096</v>
      </c>
    </row>
    <row r="1352" spans="1:5" x14ac:dyDescent="0.25">
      <c r="A1352" s="4">
        <v>41994.908194444448</v>
      </c>
      <c r="B1352" s="2" t="s">
        <v>326</v>
      </c>
      <c r="C1352" s="2" t="s">
        <v>26</v>
      </c>
      <c r="D1352" s="2" t="str">
        <f>"9780470609347"</f>
        <v>9780470609347</v>
      </c>
      <c r="E1352" s="2">
        <v>510140</v>
      </c>
    </row>
    <row r="1353" spans="1:5" x14ac:dyDescent="0.25">
      <c r="A1353" s="4">
        <v>41994.902013888888</v>
      </c>
      <c r="B1353" s="2" t="s">
        <v>653</v>
      </c>
      <c r="C1353" s="2" t="s">
        <v>119</v>
      </c>
      <c r="D1353" s="2" t="str">
        <f>"9780520960022"</f>
        <v>9780520960022</v>
      </c>
      <c r="E1353" s="2">
        <v>1710985</v>
      </c>
    </row>
    <row r="1354" spans="1:5" x14ac:dyDescent="0.25">
      <c r="A1354" s="4">
        <v>43193.56863425926</v>
      </c>
      <c r="B1354" s="2" t="s">
        <v>69</v>
      </c>
      <c r="C1354" s="2" t="s">
        <v>70</v>
      </c>
      <c r="D1354" s="2" t="str">
        <f>"9781627059565"</f>
        <v>9781627059565</v>
      </c>
      <c r="E1354" s="2">
        <v>4791249</v>
      </c>
    </row>
    <row r="1355" spans="1:5" x14ac:dyDescent="0.25">
      <c r="A1355" s="4">
        <v>41994.885000000002</v>
      </c>
      <c r="B1355" s="2" t="s">
        <v>2103</v>
      </c>
      <c r="C1355" s="2" t="s">
        <v>18</v>
      </c>
      <c r="D1355" s="2" t="str">
        <f>"9781441165794"</f>
        <v>9781441165794</v>
      </c>
      <c r="E1355" s="2">
        <v>686918</v>
      </c>
    </row>
    <row r="1356" spans="1:5" x14ac:dyDescent="0.25">
      <c r="A1356" s="4">
        <v>41980.343912037039</v>
      </c>
      <c r="B1356" s="2" t="s">
        <v>2521</v>
      </c>
      <c r="C1356" s="2" t="s">
        <v>36</v>
      </c>
      <c r="D1356" s="2" t="str">
        <f>"9781476601854"</f>
        <v>9781476601854</v>
      </c>
      <c r="E1356" s="2">
        <v>1126326</v>
      </c>
    </row>
    <row r="1357" spans="1:5" x14ac:dyDescent="0.25">
      <c r="A1357" s="4">
        <v>41975.497372685182</v>
      </c>
      <c r="B1357" s="2" t="s">
        <v>2838</v>
      </c>
      <c r="C1357" s="2" t="s">
        <v>96</v>
      </c>
      <c r="D1357" s="2" t="str">
        <f>"9780807877999"</f>
        <v>9780807877999</v>
      </c>
      <c r="E1357" s="2">
        <v>655820</v>
      </c>
    </row>
    <row r="1358" spans="1:5" x14ac:dyDescent="0.25">
      <c r="A1358" s="4">
        <v>41994.885000000002</v>
      </c>
      <c r="B1358" s="2" t="s">
        <v>2107</v>
      </c>
      <c r="C1358" s="2" t="s">
        <v>1934</v>
      </c>
      <c r="D1358" s="2" t="str">
        <f>"9781847888396"</f>
        <v>9781847888396</v>
      </c>
      <c r="E1358" s="2">
        <v>635418</v>
      </c>
    </row>
    <row r="1359" spans="1:5" x14ac:dyDescent="0.25">
      <c r="A1359" s="4">
        <v>41984.682650462964</v>
      </c>
      <c r="B1359" s="2" t="s">
        <v>2356</v>
      </c>
      <c r="C1359" s="2" t="s">
        <v>36</v>
      </c>
      <c r="D1359" s="2" t="str">
        <f>"9781476613246"</f>
        <v>9781476613246</v>
      </c>
      <c r="E1359" s="2">
        <v>1611685</v>
      </c>
    </row>
    <row r="1360" spans="1:5" x14ac:dyDescent="0.25">
      <c r="A1360" s="4">
        <v>41994.905578703707</v>
      </c>
      <c r="B1360" s="2" t="s">
        <v>601</v>
      </c>
      <c r="C1360" s="2" t="s">
        <v>96</v>
      </c>
      <c r="D1360" s="2" t="str">
        <f>"9780807895382"</f>
        <v>9780807895382</v>
      </c>
      <c r="E1360" s="2">
        <v>475166</v>
      </c>
    </row>
    <row r="1361" spans="1:5" x14ac:dyDescent="0.25">
      <c r="A1361" s="4">
        <v>41983.629861111112</v>
      </c>
      <c r="B1361" s="2" t="s">
        <v>2402</v>
      </c>
      <c r="C1361" s="2" t="s">
        <v>7</v>
      </c>
      <c r="D1361" s="2" t="str">
        <f>"9781452265100"</f>
        <v>9781452265100</v>
      </c>
      <c r="E1361" s="2">
        <v>996859</v>
      </c>
    </row>
    <row r="1362" spans="1:5" x14ac:dyDescent="0.25">
      <c r="A1362" s="4">
        <v>41994.899143518516</v>
      </c>
      <c r="B1362" s="2" t="s">
        <v>1113</v>
      </c>
      <c r="C1362" s="2" t="s">
        <v>63</v>
      </c>
      <c r="D1362" s="2" t="str">
        <f>"9781400849970"</f>
        <v>9781400849970</v>
      </c>
      <c r="E1362" s="2">
        <v>1561559</v>
      </c>
    </row>
    <row r="1363" spans="1:5" x14ac:dyDescent="0.25">
      <c r="A1363" s="4">
        <v>41994.885011574072</v>
      </c>
      <c r="B1363" s="2" t="s">
        <v>2071</v>
      </c>
      <c r="C1363" s="2" t="s">
        <v>18</v>
      </c>
      <c r="D1363" s="2" t="str">
        <f>"9781441108265"</f>
        <v>9781441108265</v>
      </c>
      <c r="E1363" s="2">
        <v>831490</v>
      </c>
    </row>
    <row r="1364" spans="1:5" x14ac:dyDescent="0.25">
      <c r="A1364" s="4">
        <v>41980.808877314812</v>
      </c>
      <c r="B1364" s="2" t="s">
        <v>2500</v>
      </c>
      <c r="C1364" s="2" t="s">
        <v>7</v>
      </c>
      <c r="D1364" s="2" t="str">
        <f>"9781848600638"</f>
        <v>9781848600638</v>
      </c>
      <c r="E1364" s="2">
        <v>343957</v>
      </c>
    </row>
    <row r="1365" spans="1:5" x14ac:dyDescent="0.25">
      <c r="A1365" s="4">
        <v>41994.896087962959</v>
      </c>
      <c r="B1365" s="2" t="s">
        <v>1608</v>
      </c>
      <c r="C1365" s="2" t="s">
        <v>28</v>
      </c>
      <c r="D1365" s="2" t="str">
        <f>"9780253111937"</f>
        <v>9780253111937</v>
      </c>
      <c r="E1365" s="2">
        <v>282521</v>
      </c>
    </row>
    <row r="1366" spans="1:5" x14ac:dyDescent="0.25">
      <c r="A1366" s="4">
        <v>41975.060694444444</v>
      </c>
      <c r="B1366" s="2" t="s">
        <v>2874</v>
      </c>
      <c r="C1366" s="2" t="s">
        <v>7</v>
      </c>
      <c r="D1366" s="2" t="str">
        <f>"9781452264998"</f>
        <v>9781452264998</v>
      </c>
      <c r="E1366" s="2">
        <v>996826</v>
      </c>
    </row>
    <row r="1367" spans="1:5" x14ac:dyDescent="0.25">
      <c r="A1367" s="4">
        <v>41900.507094907407</v>
      </c>
      <c r="B1367" s="2" t="s">
        <v>3837</v>
      </c>
      <c r="C1367" s="2" t="s">
        <v>26</v>
      </c>
      <c r="D1367" s="2" t="str">
        <f>"9781444325430"</f>
        <v>9781444325430</v>
      </c>
      <c r="E1367" s="2">
        <v>537391</v>
      </c>
    </row>
    <row r="1368" spans="1:5" x14ac:dyDescent="0.25">
      <c r="A1368" s="4">
        <v>41932.380949074075</v>
      </c>
      <c r="B1368" s="2" t="s">
        <v>3127</v>
      </c>
      <c r="C1368" s="2" t="s">
        <v>26</v>
      </c>
      <c r="D1368" s="2" t="str">
        <f>"9781444357141"</f>
        <v>9781444357141</v>
      </c>
      <c r="E1368" s="2">
        <v>819287</v>
      </c>
    </row>
    <row r="1369" spans="1:5" x14ac:dyDescent="0.25">
      <c r="A1369" s="4">
        <v>41994.889918981484</v>
      </c>
      <c r="B1369" s="2" t="s">
        <v>1842</v>
      </c>
      <c r="C1369" s="2" t="s">
        <v>72</v>
      </c>
      <c r="D1369" s="2" t="str">
        <f>"9780748669189"</f>
        <v>9780748669189</v>
      </c>
      <c r="E1369" s="2">
        <v>1069079</v>
      </c>
    </row>
    <row r="1370" spans="1:5" x14ac:dyDescent="0.25">
      <c r="A1370" s="4">
        <v>41994.901967592596</v>
      </c>
      <c r="B1370" s="2" t="s">
        <v>817</v>
      </c>
      <c r="C1370" s="2" t="s">
        <v>119</v>
      </c>
      <c r="D1370" s="2" t="str">
        <f>"9780520911529"</f>
        <v>9780520911529</v>
      </c>
      <c r="E1370" s="2">
        <v>837274</v>
      </c>
    </row>
    <row r="1371" spans="1:5" x14ac:dyDescent="0.25">
      <c r="A1371" s="4">
        <v>41984.410983796297</v>
      </c>
      <c r="B1371" s="2" t="s">
        <v>2374</v>
      </c>
      <c r="C1371" s="2" t="s">
        <v>28</v>
      </c>
      <c r="D1371" s="2" t="str">
        <f>"9780253006233"</f>
        <v>9780253006233</v>
      </c>
      <c r="E1371" s="2">
        <v>784505</v>
      </c>
    </row>
    <row r="1372" spans="1:5" x14ac:dyDescent="0.25">
      <c r="A1372" s="4">
        <v>41994.899143518516</v>
      </c>
      <c r="B1372" s="2" t="s">
        <v>1108</v>
      </c>
      <c r="C1372" s="2" t="s">
        <v>63</v>
      </c>
      <c r="D1372" s="2" t="str">
        <f>"9781400851034"</f>
        <v>9781400851034</v>
      </c>
      <c r="E1372" s="2">
        <v>1573466</v>
      </c>
    </row>
    <row r="1373" spans="1:5" x14ac:dyDescent="0.25">
      <c r="A1373" s="4">
        <v>41935.616273148145</v>
      </c>
      <c r="B1373" s="2" t="s">
        <v>3022</v>
      </c>
      <c r="C1373" s="2" t="s">
        <v>36</v>
      </c>
      <c r="D1373" s="2" t="str">
        <f>"9780786486731"</f>
        <v>9780786486731</v>
      </c>
      <c r="E1373" s="2">
        <v>746570</v>
      </c>
    </row>
    <row r="1374" spans="1:5" x14ac:dyDescent="0.25">
      <c r="A1374" s="4">
        <v>41994.896087962959</v>
      </c>
      <c r="B1374" s="2" t="s">
        <v>1604</v>
      </c>
      <c r="C1374" s="2" t="s">
        <v>28</v>
      </c>
      <c r="D1374" s="2" t="str">
        <f>"9780253112231"</f>
        <v>9780253112231</v>
      </c>
      <c r="E1374" s="2">
        <v>297557</v>
      </c>
    </row>
    <row r="1375" spans="1:5" x14ac:dyDescent="0.25">
      <c r="A1375" s="4">
        <v>41994.899097222224</v>
      </c>
      <c r="B1375" s="2" t="s">
        <v>1262</v>
      </c>
      <c r="C1375" s="2" t="s">
        <v>63</v>
      </c>
      <c r="D1375" s="2" t="str">
        <f>"9781400842872"</f>
        <v>9781400842872</v>
      </c>
      <c r="E1375" s="2">
        <v>827792</v>
      </c>
    </row>
    <row r="1376" spans="1:5" x14ac:dyDescent="0.25">
      <c r="A1376" s="4">
        <v>41994.878738425927</v>
      </c>
      <c r="B1376" s="2" t="s">
        <v>2226</v>
      </c>
      <c r="C1376" s="2" t="s">
        <v>2170</v>
      </c>
      <c r="D1376" s="2" t="str">
        <f>"9781848130982"</f>
        <v>9781848130982</v>
      </c>
      <c r="E1376" s="2">
        <v>332912</v>
      </c>
    </row>
    <row r="1377" spans="1:5" x14ac:dyDescent="0.25">
      <c r="A1377" s="4">
        <v>41994.896099537036</v>
      </c>
      <c r="B1377" s="2" t="s">
        <v>1592</v>
      </c>
      <c r="C1377" s="2" t="s">
        <v>28</v>
      </c>
      <c r="D1377" s="2" t="str">
        <f>"9780253002976"</f>
        <v>9780253002976</v>
      </c>
      <c r="E1377" s="2">
        <v>455787</v>
      </c>
    </row>
    <row r="1378" spans="1:5" x14ac:dyDescent="0.25">
      <c r="A1378" s="4">
        <v>41994.896180555559</v>
      </c>
      <c r="B1378" s="2" t="s">
        <v>1445</v>
      </c>
      <c r="C1378" s="2" t="s">
        <v>28</v>
      </c>
      <c r="D1378" s="2" t="str">
        <f>"9780253012319"</f>
        <v>9780253012319</v>
      </c>
      <c r="E1378" s="2">
        <v>1680201</v>
      </c>
    </row>
    <row r="1379" spans="1:5" x14ac:dyDescent="0.25">
      <c r="A1379" s="4">
        <v>41914.431296296294</v>
      </c>
      <c r="B1379" s="2" t="s">
        <v>3519</v>
      </c>
      <c r="C1379" s="2" t="s">
        <v>7</v>
      </c>
      <c r="D1379" s="2" t="str">
        <f>"9781446204870"</f>
        <v>9781446204870</v>
      </c>
      <c r="E1379" s="2">
        <v>743667</v>
      </c>
    </row>
    <row r="1380" spans="1:5" x14ac:dyDescent="0.25">
      <c r="A1380" s="4">
        <v>41994.901932870373</v>
      </c>
      <c r="B1380" s="2" t="s">
        <v>940</v>
      </c>
      <c r="C1380" s="2" t="s">
        <v>119</v>
      </c>
      <c r="D1380" s="2" t="str">
        <f>"9780520933149"</f>
        <v>9780520933149</v>
      </c>
      <c r="E1380" s="2">
        <v>470967</v>
      </c>
    </row>
    <row r="1381" spans="1:5" x14ac:dyDescent="0.25">
      <c r="A1381" s="4">
        <v>41994.901921296296</v>
      </c>
      <c r="B1381" s="2" t="s">
        <v>973</v>
      </c>
      <c r="C1381" s="2" t="s">
        <v>119</v>
      </c>
      <c r="D1381" s="2" t="str">
        <f>"9780520940802"</f>
        <v>9780520940802</v>
      </c>
      <c r="E1381" s="2">
        <v>239233</v>
      </c>
    </row>
    <row r="1382" spans="1:5" x14ac:dyDescent="0.25">
      <c r="A1382" s="4">
        <v>41994.901956018519</v>
      </c>
      <c r="B1382" s="2" t="s">
        <v>880</v>
      </c>
      <c r="C1382" s="2" t="s">
        <v>119</v>
      </c>
      <c r="D1382" s="2" t="str">
        <f>"9780520948884"</f>
        <v>9780520948884</v>
      </c>
      <c r="E1382" s="2">
        <v>656675</v>
      </c>
    </row>
    <row r="1383" spans="1:5" x14ac:dyDescent="0.25">
      <c r="A1383" s="4">
        <v>41994.884965277779</v>
      </c>
      <c r="B1383" s="2" t="s">
        <v>2168</v>
      </c>
      <c r="C1383" s="2" t="s">
        <v>18</v>
      </c>
      <c r="D1383" s="2" t="str">
        <f>"9781845207298"</f>
        <v>9781845207298</v>
      </c>
      <c r="E1383" s="2">
        <v>278904</v>
      </c>
    </row>
    <row r="1384" spans="1:5" x14ac:dyDescent="0.25">
      <c r="A1384" s="4">
        <v>41927.444571759261</v>
      </c>
      <c r="B1384" s="2" t="s">
        <v>2168</v>
      </c>
      <c r="C1384" s="2" t="s">
        <v>1934</v>
      </c>
      <c r="D1384" s="2" t="str">
        <f>""</f>
        <v/>
      </c>
      <c r="E1384" s="2">
        <v>1609927</v>
      </c>
    </row>
    <row r="1385" spans="1:5" x14ac:dyDescent="0.25">
      <c r="A1385" s="4">
        <v>41994.901967592596</v>
      </c>
      <c r="B1385" s="2" t="s">
        <v>828</v>
      </c>
      <c r="C1385" s="2" t="s">
        <v>119</v>
      </c>
      <c r="D1385" s="2" t="str">
        <f>"9780520939677"</f>
        <v>9780520939677</v>
      </c>
      <c r="E1385" s="2">
        <v>837159</v>
      </c>
    </row>
    <row r="1386" spans="1:5" x14ac:dyDescent="0.25">
      <c r="A1386" s="4">
        <v>41987.448009259257</v>
      </c>
      <c r="B1386" s="2" t="s">
        <v>2318</v>
      </c>
      <c r="C1386" s="2" t="s">
        <v>74</v>
      </c>
      <c r="D1386" s="2" t="str">
        <f>"9781441164087"</f>
        <v>9781441164087</v>
      </c>
      <c r="E1386" s="2">
        <v>1688457</v>
      </c>
    </row>
    <row r="1387" spans="1:5" x14ac:dyDescent="0.25">
      <c r="A1387" s="4">
        <v>41994.908194444448</v>
      </c>
      <c r="B1387" s="2" t="s">
        <v>327</v>
      </c>
      <c r="C1387" s="2" t="s">
        <v>26</v>
      </c>
      <c r="D1387" s="2" t="str">
        <f>"9780470604045"</f>
        <v>9780470604045</v>
      </c>
      <c r="E1387" s="2">
        <v>510122</v>
      </c>
    </row>
    <row r="1388" spans="1:5" x14ac:dyDescent="0.25">
      <c r="A1388" s="4">
        <v>41932.615127314813</v>
      </c>
      <c r="B1388" s="2" t="s">
        <v>3115</v>
      </c>
      <c r="C1388" s="2" t="s">
        <v>7</v>
      </c>
      <c r="D1388" s="2" t="str">
        <f>"9781452221601"</f>
        <v>9781452221601</v>
      </c>
      <c r="E1388" s="2">
        <v>996408</v>
      </c>
    </row>
    <row r="1389" spans="1:5" x14ac:dyDescent="0.25">
      <c r="A1389" s="4">
        <v>41994.878750000003</v>
      </c>
      <c r="B1389" s="2" t="s">
        <v>2200</v>
      </c>
      <c r="C1389" s="2" t="s">
        <v>2170</v>
      </c>
      <c r="D1389" s="2" t="str">
        <f>"9781780321042"</f>
        <v>9781780321042</v>
      </c>
      <c r="E1389" s="2">
        <v>867037</v>
      </c>
    </row>
    <row r="1390" spans="1:5" x14ac:dyDescent="0.25">
      <c r="A1390" s="4">
        <v>41994.908206018517</v>
      </c>
      <c r="B1390" s="2" t="s">
        <v>294</v>
      </c>
      <c r="C1390" s="2" t="s">
        <v>26</v>
      </c>
      <c r="D1390" s="2" t="str">
        <f>"9780470937136"</f>
        <v>9780470937136</v>
      </c>
      <c r="E1390" s="2">
        <v>644931</v>
      </c>
    </row>
    <row r="1391" spans="1:5" x14ac:dyDescent="0.25">
      <c r="A1391" s="4">
        <v>41994.905590277776</v>
      </c>
      <c r="B1391" s="2" t="s">
        <v>554</v>
      </c>
      <c r="C1391" s="2" t="s">
        <v>96</v>
      </c>
      <c r="D1391" s="2" t="str">
        <f>"9780807898406"</f>
        <v>9780807898406</v>
      </c>
      <c r="E1391" s="2">
        <v>732139</v>
      </c>
    </row>
    <row r="1392" spans="1:5" x14ac:dyDescent="0.25">
      <c r="A1392" s="4">
        <v>41994.896087962959</v>
      </c>
      <c r="B1392" s="2" t="s">
        <v>1597</v>
      </c>
      <c r="C1392" s="2" t="s">
        <v>28</v>
      </c>
      <c r="D1392" s="2" t="str">
        <f>"9780253000170"</f>
        <v>9780253000170</v>
      </c>
      <c r="E1392" s="2">
        <v>348674</v>
      </c>
    </row>
    <row r="1393" spans="1:5" x14ac:dyDescent="0.25">
      <c r="A1393" s="4">
        <v>41994.901932870373</v>
      </c>
      <c r="B1393" s="2" t="s">
        <v>942</v>
      </c>
      <c r="C1393" s="2" t="s">
        <v>119</v>
      </c>
      <c r="D1393" s="2" t="str">
        <f>"9780520934061"</f>
        <v>9780520934061</v>
      </c>
      <c r="E1393" s="2">
        <v>470956</v>
      </c>
    </row>
    <row r="1394" spans="1:5" x14ac:dyDescent="0.25">
      <c r="A1394" s="4">
        <v>41994.901932870373</v>
      </c>
      <c r="B1394" s="2" t="s">
        <v>948</v>
      </c>
      <c r="C1394" s="2" t="s">
        <v>119</v>
      </c>
      <c r="D1394" s="2" t="str">
        <f>"9780520944909"</f>
        <v>9780520944909</v>
      </c>
      <c r="E1394" s="2">
        <v>470919</v>
      </c>
    </row>
    <row r="1395" spans="1:5" x14ac:dyDescent="0.25">
      <c r="A1395" s="4">
        <v>41907.47996527778</v>
      </c>
      <c r="B1395" s="2" t="s">
        <v>3684</v>
      </c>
      <c r="C1395" s="2" t="s">
        <v>72</v>
      </c>
      <c r="D1395" s="2" t="str">
        <f>"9780748645268"</f>
        <v>9780748645268</v>
      </c>
      <c r="E1395" s="2">
        <v>1056863</v>
      </c>
    </row>
    <row r="1396" spans="1:5" x14ac:dyDescent="0.25">
      <c r="A1396" s="4">
        <v>41994.878750000003</v>
      </c>
      <c r="B1396" s="2" t="s">
        <v>2192</v>
      </c>
      <c r="C1396" s="2" t="s">
        <v>2170</v>
      </c>
      <c r="D1396" s="2" t="str">
        <f>"9781780325552"</f>
        <v>9781780325552</v>
      </c>
      <c r="E1396" s="2">
        <v>1140202</v>
      </c>
    </row>
    <row r="1397" spans="1:5" x14ac:dyDescent="0.25">
      <c r="A1397" s="4">
        <v>41994.892916666664</v>
      </c>
      <c r="B1397" s="2" t="s">
        <v>1705</v>
      </c>
      <c r="C1397" s="2" t="s">
        <v>16</v>
      </c>
      <c r="D1397" s="2" t="str">
        <f>"9781609187514"</f>
        <v>9781609187514</v>
      </c>
      <c r="E1397" s="2">
        <v>793711</v>
      </c>
    </row>
    <row r="1398" spans="1:5" x14ac:dyDescent="0.25">
      <c r="A1398" s="4">
        <v>41994.878750000003</v>
      </c>
      <c r="B1398" s="2" t="s">
        <v>2210</v>
      </c>
      <c r="C1398" s="2" t="s">
        <v>2170</v>
      </c>
      <c r="D1398" s="2" t="str">
        <f>"9781848134096"</f>
        <v>9781848134096</v>
      </c>
      <c r="E1398" s="2">
        <v>488156</v>
      </c>
    </row>
    <row r="1399" spans="1:5" x14ac:dyDescent="0.25">
      <c r="A1399" s="4">
        <v>41908.940335648149</v>
      </c>
      <c r="B1399" s="2" t="s">
        <v>3637</v>
      </c>
      <c r="C1399" s="2" t="s">
        <v>26</v>
      </c>
      <c r="D1399" s="2" t="str">
        <f>"9780470695814"</f>
        <v>9780470695814</v>
      </c>
      <c r="E1399" s="2">
        <v>470234</v>
      </c>
    </row>
    <row r="1400" spans="1:5" x14ac:dyDescent="0.25">
      <c r="A1400" s="4">
        <v>41935.071875000001</v>
      </c>
      <c r="B1400" s="2" t="s">
        <v>3040</v>
      </c>
      <c r="C1400" s="2" t="s">
        <v>7</v>
      </c>
      <c r="D1400" s="2" t="str">
        <f>"9781848608979"</f>
        <v>9781848608979</v>
      </c>
      <c r="E1400" s="2">
        <v>456776</v>
      </c>
    </row>
    <row r="1401" spans="1:5" x14ac:dyDescent="0.25">
      <c r="A1401" s="4">
        <v>41994.885023148148</v>
      </c>
      <c r="B1401" s="2" t="s">
        <v>2041</v>
      </c>
      <c r="C1401" s="2" t="s">
        <v>18</v>
      </c>
      <c r="D1401" s="2" t="str">
        <f>"9781441130358"</f>
        <v>9781441130358</v>
      </c>
      <c r="E1401" s="2">
        <v>1080360</v>
      </c>
    </row>
    <row r="1402" spans="1:5" x14ac:dyDescent="0.25">
      <c r="A1402" s="4">
        <v>41994.878761574073</v>
      </c>
      <c r="B1402" s="2" t="s">
        <v>2179</v>
      </c>
      <c r="C1402" s="2" t="s">
        <v>2170</v>
      </c>
      <c r="D1402" s="2" t="str">
        <f>"9781780329819"</f>
        <v>9781780329819</v>
      </c>
      <c r="E1402" s="2">
        <v>1619940</v>
      </c>
    </row>
    <row r="1403" spans="1:5" x14ac:dyDescent="0.25">
      <c r="A1403" s="4">
        <v>41994.878761574073</v>
      </c>
      <c r="B1403" s="2" t="s">
        <v>2169</v>
      </c>
      <c r="C1403" s="2" t="s">
        <v>2170</v>
      </c>
      <c r="D1403" s="2" t="str">
        <f>"9781783602551"</f>
        <v>9781783602551</v>
      </c>
      <c r="E1403" s="2">
        <v>1833660</v>
      </c>
    </row>
    <row r="1404" spans="1:5" x14ac:dyDescent="0.25">
      <c r="A1404" s="4">
        <v>41907.555937500001</v>
      </c>
      <c r="B1404" s="2" t="s">
        <v>3677</v>
      </c>
      <c r="C1404" s="2" t="s">
        <v>26</v>
      </c>
      <c r="D1404" s="2" t="str">
        <f>"9781444355109"</f>
        <v>9781444355109</v>
      </c>
      <c r="E1404" s="2">
        <v>826886</v>
      </c>
    </row>
    <row r="1405" spans="1:5" x14ac:dyDescent="0.25">
      <c r="A1405" s="4">
        <v>41994.901921296296</v>
      </c>
      <c r="B1405" s="2" t="s">
        <v>959</v>
      </c>
      <c r="C1405" s="2" t="s">
        <v>119</v>
      </c>
      <c r="D1405" s="2" t="str">
        <f>"9780520940635"</f>
        <v>9780520940635</v>
      </c>
      <c r="E1405" s="2">
        <v>291510</v>
      </c>
    </row>
    <row r="1406" spans="1:5" x14ac:dyDescent="0.25">
      <c r="A1406" s="4">
        <v>41994.896180555559</v>
      </c>
      <c r="B1406" s="2" t="s">
        <v>1440</v>
      </c>
      <c r="C1406" s="2" t="s">
        <v>28</v>
      </c>
      <c r="D1406" s="2" t="str">
        <f>"9780253013019"</f>
        <v>9780253013019</v>
      </c>
      <c r="E1406" s="2">
        <v>1782265</v>
      </c>
    </row>
    <row r="1407" spans="1:5" x14ac:dyDescent="0.25">
      <c r="A1407" s="4">
        <v>41994.892905092594</v>
      </c>
      <c r="B1407" s="2" t="s">
        <v>1735</v>
      </c>
      <c r="C1407" s="2" t="s">
        <v>16</v>
      </c>
      <c r="D1407" s="2" t="str">
        <f>"9781609180089"</f>
        <v>9781609180089</v>
      </c>
      <c r="E1407" s="2">
        <v>593767</v>
      </c>
    </row>
    <row r="1408" spans="1:5" x14ac:dyDescent="0.25">
      <c r="A1408" s="4">
        <v>41994.889930555553</v>
      </c>
      <c r="B1408" s="2" t="s">
        <v>1823</v>
      </c>
      <c r="C1408" s="2" t="s">
        <v>72</v>
      </c>
      <c r="D1408" s="2" t="str">
        <f>"9780748674541"</f>
        <v>9780748674541</v>
      </c>
      <c r="E1408" s="2">
        <v>1168206</v>
      </c>
    </row>
    <row r="1409" spans="1:5" x14ac:dyDescent="0.25">
      <c r="A1409" s="4">
        <v>41994.901909722219</v>
      </c>
      <c r="B1409" s="2" t="s">
        <v>1001</v>
      </c>
      <c r="C1409" s="2" t="s">
        <v>119</v>
      </c>
      <c r="D1409" s="2" t="str">
        <f>"9780520930964"</f>
        <v>9780520930964</v>
      </c>
      <c r="E1409" s="2">
        <v>224285</v>
      </c>
    </row>
    <row r="1410" spans="1:5" x14ac:dyDescent="0.25">
      <c r="A1410" s="4">
        <v>41854.721631944441</v>
      </c>
      <c r="B1410" s="2" t="s">
        <v>3966</v>
      </c>
      <c r="C1410" s="2" t="s">
        <v>119</v>
      </c>
      <c r="D1410" s="2" t="str">
        <f>"9780520929135"</f>
        <v>9780520929135</v>
      </c>
      <c r="E1410" s="2">
        <v>227305</v>
      </c>
    </row>
    <row r="1411" spans="1:5" x14ac:dyDescent="0.25">
      <c r="A1411" s="4">
        <v>41935.291354166664</v>
      </c>
      <c r="B1411" s="2" t="s">
        <v>3039</v>
      </c>
      <c r="C1411" s="2" t="s">
        <v>26</v>
      </c>
      <c r="D1411" s="2" t="str">
        <f>"9781444393569"</f>
        <v>9781444393569</v>
      </c>
      <c r="E1411" s="2">
        <v>645003</v>
      </c>
    </row>
    <row r="1412" spans="1:5" x14ac:dyDescent="0.25">
      <c r="A1412" s="4">
        <v>41978.546481481484</v>
      </c>
      <c r="B1412" s="2" t="s">
        <v>2571</v>
      </c>
      <c r="C1412" s="2" t="s">
        <v>7</v>
      </c>
      <c r="D1412" s="2" t="str">
        <f>"9781446202425"</f>
        <v>9781446202425</v>
      </c>
      <c r="E1412" s="2">
        <v>689520</v>
      </c>
    </row>
    <row r="1413" spans="1:5" x14ac:dyDescent="0.25">
      <c r="A1413" s="4">
        <v>41978.186377314814</v>
      </c>
      <c r="B1413" s="2" t="s">
        <v>2579</v>
      </c>
      <c r="C1413" s="2" t="s">
        <v>63</v>
      </c>
      <c r="D1413" s="2" t="str">
        <f>"9781400828814"</f>
        <v>9781400828814</v>
      </c>
      <c r="E1413" s="2">
        <v>483542</v>
      </c>
    </row>
    <row r="1414" spans="1:5" x14ac:dyDescent="0.25">
      <c r="A1414" s="4">
        <v>41841.972048611111</v>
      </c>
      <c r="B1414" s="2" t="s">
        <v>3974</v>
      </c>
      <c r="C1414" s="2" t="s">
        <v>26</v>
      </c>
      <c r="D1414" s="2" t="str">
        <f>"9780470099643"</f>
        <v>9780470099643</v>
      </c>
      <c r="E1414" s="2">
        <v>270495</v>
      </c>
    </row>
    <row r="1415" spans="1:5" x14ac:dyDescent="0.25">
      <c r="A1415" s="4">
        <v>41977.846979166665</v>
      </c>
      <c r="B1415" s="2" t="s">
        <v>2586</v>
      </c>
      <c r="C1415" s="2" t="s">
        <v>18</v>
      </c>
      <c r="D1415" s="2" t="str">
        <f>"9781441111562"</f>
        <v>9781441111562</v>
      </c>
      <c r="E1415" s="2">
        <v>601863</v>
      </c>
    </row>
    <row r="1416" spans="1:5" x14ac:dyDescent="0.25">
      <c r="A1416" s="4">
        <v>43129.67082175926</v>
      </c>
      <c r="B1416" s="2" t="s">
        <v>120</v>
      </c>
      <c r="C1416" s="2" t="s">
        <v>119</v>
      </c>
      <c r="D1416" s="2" t="str">
        <f>"9780520965003"</f>
        <v>9780520965003</v>
      </c>
      <c r="E1416" s="2">
        <v>4453290</v>
      </c>
    </row>
    <row r="1417" spans="1:5" x14ac:dyDescent="0.25">
      <c r="A1417" s="4">
        <v>41994.901921296296</v>
      </c>
      <c r="B1417" s="2" t="s">
        <v>977</v>
      </c>
      <c r="C1417" s="2" t="s">
        <v>119</v>
      </c>
      <c r="D1417" s="2" t="str">
        <f>"9780520940413"</f>
        <v>9780520940413</v>
      </c>
      <c r="E1417" s="2">
        <v>231914</v>
      </c>
    </row>
    <row r="1418" spans="1:5" x14ac:dyDescent="0.25">
      <c r="A1418" s="4">
        <v>41994.905590277776</v>
      </c>
      <c r="B1418" s="2" t="s">
        <v>575</v>
      </c>
      <c r="C1418" s="2" t="s">
        <v>96</v>
      </c>
      <c r="D1418" s="2" t="str">
        <f>"9780807899311"</f>
        <v>9780807899311</v>
      </c>
      <c r="E1418" s="2">
        <v>655815</v>
      </c>
    </row>
    <row r="1419" spans="1:5" x14ac:dyDescent="0.25">
      <c r="A1419" s="4">
        <v>41974.717719907407</v>
      </c>
      <c r="B1419" s="2" t="s">
        <v>2925</v>
      </c>
      <c r="C1419" s="2" t="s">
        <v>119</v>
      </c>
      <c r="D1419" s="2" t="str">
        <f>"9780520950436"</f>
        <v>9780520950436</v>
      </c>
      <c r="E1419" s="2">
        <v>868340</v>
      </c>
    </row>
    <row r="1420" spans="1:5" x14ac:dyDescent="0.25">
      <c r="A1420" s="4">
        <v>41976.685381944444</v>
      </c>
      <c r="B1420" s="2" t="s">
        <v>2650</v>
      </c>
      <c r="C1420" s="2" t="s">
        <v>119</v>
      </c>
      <c r="D1420" s="2" t="str">
        <f>"9780520958272"</f>
        <v>9780520958272</v>
      </c>
      <c r="E1420" s="2">
        <v>1650364</v>
      </c>
    </row>
    <row r="1421" spans="1:5" x14ac:dyDescent="0.25">
      <c r="A1421" s="4">
        <v>41932.490833333337</v>
      </c>
      <c r="B1421" s="2" t="s">
        <v>3119</v>
      </c>
      <c r="C1421" s="2" t="s">
        <v>26</v>
      </c>
      <c r="D1421" s="2" t="str">
        <f>"9780470874004"</f>
        <v>9780470874004</v>
      </c>
      <c r="E1421" s="2">
        <v>514305</v>
      </c>
    </row>
    <row r="1422" spans="1:5" x14ac:dyDescent="0.25">
      <c r="A1422" s="4">
        <v>41934.729953703703</v>
      </c>
      <c r="B1422" s="2" t="s">
        <v>3051</v>
      </c>
      <c r="C1422" s="2" t="s">
        <v>26</v>
      </c>
      <c r="D1422" s="2" t="str">
        <f>"9781118181324"</f>
        <v>9781118181324</v>
      </c>
      <c r="E1422" s="2">
        <v>817495</v>
      </c>
    </row>
    <row r="1423" spans="1:5" x14ac:dyDescent="0.25">
      <c r="A1423" s="4">
        <v>41980.91505787037</v>
      </c>
      <c r="B1423" s="2" t="s">
        <v>2495</v>
      </c>
      <c r="C1423" s="2" t="s">
        <v>36</v>
      </c>
      <c r="D1423" s="2" t="str">
        <f>"9780786457885"</f>
        <v>9780786457885</v>
      </c>
      <c r="E1423" s="2">
        <v>557078</v>
      </c>
    </row>
    <row r="1424" spans="1:5" x14ac:dyDescent="0.25">
      <c r="A1424" s="4">
        <v>41994.899097222224</v>
      </c>
      <c r="B1424" s="2" t="s">
        <v>1261</v>
      </c>
      <c r="C1424" s="2" t="s">
        <v>63</v>
      </c>
      <c r="D1424" s="2" t="str">
        <f>"9781400841899"</f>
        <v>9781400841899</v>
      </c>
      <c r="E1424" s="2">
        <v>827800</v>
      </c>
    </row>
    <row r="1425" spans="1:5" x14ac:dyDescent="0.25">
      <c r="A1425" s="4">
        <v>41994.901979166665</v>
      </c>
      <c r="B1425" s="2" t="s">
        <v>778</v>
      </c>
      <c r="C1425" s="2" t="s">
        <v>119</v>
      </c>
      <c r="D1425" s="2" t="str">
        <f>"9780520951884"</f>
        <v>9780520951884</v>
      </c>
      <c r="E1425" s="2">
        <v>896311</v>
      </c>
    </row>
    <row r="1426" spans="1:5" x14ac:dyDescent="0.25">
      <c r="A1426" s="4">
        <v>41974.906377314815</v>
      </c>
      <c r="B1426" s="2" t="s">
        <v>2894</v>
      </c>
      <c r="C1426" s="2" t="s">
        <v>160</v>
      </c>
      <c r="D1426" s="2" t="str">
        <f>"9780470612378"</f>
        <v>9780470612378</v>
      </c>
      <c r="E1426" s="2">
        <v>510171</v>
      </c>
    </row>
    <row r="1427" spans="1:5" x14ac:dyDescent="0.25">
      <c r="A1427" s="4">
        <v>41987.985185185185</v>
      </c>
      <c r="B1427" s="2" t="s">
        <v>2304</v>
      </c>
      <c r="C1427" s="2" t="s">
        <v>36</v>
      </c>
      <c r="D1427" s="2" t="str">
        <f>"9780786452255"</f>
        <v>9780786452255</v>
      </c>
      <c r="E1427" s="2">
        <v>1594702</v>
      </c>
    </row>
    <row r="1428" spans="1:5" x14ac:dyDescent="0.25">
      <c r="A1428" s="4">
        <v>41838.571574074071</v>
      </c>
      <c r="B1428" s="2" t="s">
        <v>3978</v>
      </c>
      <c r="C1428" s="2" t="s">
        <v>26</v>
      </c>
      <c r="D1428" s="2" t="str">
        <f>"9780470463949"</f>
        <v>9780470463949</v>
      </c>
      <c r="E1428" s="2">
        <v>406461</v>
      </c>
    </row>
    <row r="1429" spans="1:5" x14ac:dyDescent="0.25">
      <c r="A1429" s="4">
        <v>42878.555868055555</v>
      </c>
      <c r="B1429" s="2" t="s">
        <v>146</v>
      </c>
      <c r="C1429" s="2" t="s">
        <v>18</v>
      </c>
      <c r="D1429" s="2" t="str">
        <f>"9781472597779"</f>
        <v>9781472597779</v>
      </c>
      <c r="E1429" s="2">
        <v>4648041</v>
      </c>
    </row>
    <row r="1430" spans="1:5" x14ac:dyDescent="0.25">
      <c r="A1430" s="4">
        <v>41936.571064814816</v>
      </c>
      <c r="B1430" s="2" t="s">
        <v>3001</v>
      </c>
      <c r="C1430" s="2" t="s">
        <v>36</v>
      </c>
      <c r="D1430" s="2" t="str">
        <f>"9780786456932"</f>
        <v>9780786456932</v>
      </c>
      <c r="E1430" s="2">
        <v>530073</v>
      </c>
    </row>
    <row r="1431" spans="1:5" x14ac:dyDescent="0.25">
      <c r="A1431" s="4">
        <v>41994.908194444448</v>
      </c>
      <c r="B1431" s="2" t="s">
        <v>305</v>
      </c>
      <c r="C1431" s="2" t="s">
        <v>205</v>
      </c>
      <c r="D1431" s="2" t="str">
        <f>"9780470880890"</f>
        <v>9780470880890</v>
      </c>
      <c r="E1431" s="2">
        <v>624441</v>
      </c>
    </row>
    <row r="1432" spans="1:5" x14ac:dyDescent="0.25">
      <c r="A1432" s="4">
        <v>41994.901979166665</v>
      </c>
      <c r="B1432" s="2" t="s">
        <v>777</v>
      </c>
      <c r="C1432" s="2" t="s">
        <v>119</v>
      </c>
      <c r="D1432" s="2" t="str">
        <f>"9780520952409"</f>
        <v>9780520952409</v>
      </c>
      <c r="E1432" s="2">
        <v>902581</v>
      </c>
    </row>
    <row r="1433" spans="1:5" x14ac:dyDescent="0.25">
      <c r="A1433" s="4">
        <v>41827.506319444445</v>
      </c>
      <c r="B1433" s="2" t="s">
        <v>3987</v>
      </c>
      <c r="C1433" s="2" t="s">
        <v>419</v>
      </c>
      <c r="D1433" s="2" t="str">
        <f>"9780764517051"</f>
        <v>9780764517051</v>
      </c>
      <c r="E1433" s="2">
        <v>128461</v>
      </c>
    </row>
    <row r="1434" spans="1:5" x14ac:dyDescent="0.25">
      <c r="A1434" s="4">
        <v>41947.735925925925</v>
      </c>
      <c r="B1434" s="2" t="s">
        <v>2997</v>
      </c>
      <c r="C1434" s="2" t="s">
        <v>160</v>
      </c>
      <c r="D1434" s="2" t="str">
        <f>"9781118136829"</f>
        <v>9781118136829</v>
      </c>
      <c r="E1434" s="2">
        <v>817313</v>
      </c>
    </row>
    <row r="1435" spans="1:5" x14ac:dyDescent="0.25">
      <c r="A1435" s="4">
        <v>41813.615289351852</v>
      </c>
      <c r="B1435" s="2" t="s">
        <v>2997</v>
      </c>
      <c r="C1435" s="2" t="s">
        <v>160</v>
      </c>
      <c r="D1435" s="2" t="str">
        <f>"9781118136829"</f>
        <v>9781118136829</v>
      </c>
      <c r="E1435" s="2">
        <v>817313</v>
      </c>
    </row>
    <row r="1436" spans="1:5" x14ac:dyDescent="0.25">
      <c r="A1436" s="4">
        <v>41919.556817129633</v>
      </c>
      <c r="B1436" s="2" t="s">
        <v>3396</v>
      </c>
      <c r="C1436" s="2" t="s">
        <v>1934</v>
      </c>
      <c r="D1436" s="2" t="str">
        <f>"9780857851741"</f>
        <v>9780857851741</v>
      </c>
      <c r="E1436" s="2">
        <v>799551</v>
      </c>
    </row>
    <row r="1437" spans="1:5" x14ac:dyDescent="0.25">
      <c r="A1437" s="4">
        <v>41994.885023148148</v>
      </c>
      <c r="B1437" s="2" t="s">
        <v>2049</v>
      </c>
      <c r="C1437" s="2" t="s">
        <v>18</v>
      </c>
      <c r="D1437" s="2" t="str">
        <f>"9781441127815"</f>
        <v>9781441127815</v>
      </c>
      <c r="E1437" s="2">
        <v>1014738</v>
      </c>
    </row>
    <row r="1438" spans="1:5" x14ac:dyDescent="0.25">
      <c r="A1438" s="4">
        <v>41994.885023148148</v>
      </c>
      <c r="B1438" s="2" t="s">
        <v>2040</v>
      </c>
      <c r="C1438" s="2" t="s">
        <v>1934</v>
      </c>
      <c r="D1438" s="2" t="str">
        <f>"9781441153371"</f>
        <v>9781441153371</v>
      </c>
      <c r="E1438" s="2">
        <v>1080363</v>
      </c>
    </row>
    <row r="1439" spans="1:5" x14ac:dyDescent="0.25">
      <c r="A1439" s="4">
        <v>41994.889918981484</v>
      </c>
      <c r="B1439" s="2" t="s">
        <v>1840</v>
      </c>
      <c r="C1439" s="2" t="s">
        <v>72</v>
      </c>
      <c r="D1439" s="2" t="str">
        <f>"9780748643974"</f>
        <v>9780748643974</v>
      </c>
      <c r="E1439" s="2">
        <v>1126569</v>
      </c>
    </row>
    <row r="1440" spans="1:5" x14ac:dyDescent="0.25">
      <c r="A1440" s="4">
        <v>41933.587731481479</v>
      </c>
      <c r="B1440" s="2" t="s">
        <v>3089</v>
      </c>
      <c r="C1440" s="2" t="s">
        <v>18</v>
      </c>
      <c r="D1440" s="2" t="str">
        <f>"9781472502186"</f>
        <v>9781472502186</v>
      </c>
      <c r="E1440" s="2">
        <v>1206941</v>
      </c>
    </row>
    <row r="1441" spans="1:5" x14ac:dyDescent="0.25">
      <c r="A1441" s="4">
        <v>41918.552071759259</v>
      </c>
      <c r="B1441" s="2" t="s">
        <v>3431</v>
      </c>
      <c r="C1441" s="2" t="s">
        <v>26</v>
      </c>
      <c r="D1441" s="2" t="str">
        <f>"9780470693261"</f>
        <v>9780470693261</v>
      </c>
      <c r="E1441" s="2">
        <v>351169</v>
      </c>
    </row>
    <row r="1442" spans="1:5" x14ac:dyDescent="0.25">
      <c r="A1442" s="4">
        <v>41994.901932870373</v>
      </c>
      <c r="B1442" s="2" t="s">
        <v>929</v>
      </c>
      <c r="C1442" s="2" t="s">
        <v>119</v>
      </c>
      <c r="D1442" s="2" t="str">
        <f>"9780520946149"</f>
        <v>9780520946149</v>
      </c>
      <c r="E1442" s="2">
        <v>496564</v>
      </c>
    </row>
    <row r="1443" spans="1:5" x14ac:dyDescent="0.25">
      <c r="A1443" s="4">
        <v>43159.491446759261</v>
      </c>
      <c r="B1443" s="2" t="s">
        <v>83</v>
      </c>
      <c r="C1443" s="2" t="s">
        <v>5</v>
      </c>
      <c r="D1443" s="2" t="str">
        <f>"9781784506247"</f>
        <v>9781784506247</v>
      </c>
      <c r="E1443" s="2">
        <v>5124035</v>
      </c>
    </row>
    <row r="1444" spans="1:5" x14ac:dyDescent="0.25">
      <c r="A1444" s="4">
        <v>41935.546111111114</v>
      </c>
      <c r="B1444" s="2" t="s">
        <v>3031</v>
      </c>
      <c r="C1444" s="2" t="s">
        <v>5</v>
      </c>
      <c r="D1444" s="2" t="str">
        <f>"9781846427794"</f>
        <v>9781846427794</v>
      </c>
      <c r="E1444" s="2">
        <v>350345</v>
      </c>
    </row>
    <row r="1445" spans="1:5" x14ac:dyDescent="0.25">
      <c r="A1445" s="4">
        <v>41975.249803240738</v>
      </c>
      <c r="B1445" s="2" t="s">
        <v>2872</v>
      </c>
      <c r="C1445" s="2" t="s">
        <v>63</v>
      </c>
      <c r="D1445" s="2" t="str">
        <f>"9781400852581"</f>
        <v>9781400852581</v>
      </c>
      <c r="E1445" s="2">
        <v>1753616</v>
      </c>
    </row>
    <row r="1446" spans="1:5" x14ac:dyDescent="0.25">
      <c r="A1446" s="4">
        <v>41987.919953703706</v>
      </c>
      <c r="B1446" s="2" t="s">
        <v>2306</v>
      </c>
      <c r="C1446" s="2" t="s">
        <v>18</v>
      </c>
      <c r="D1446" s="2" t="str">
        <f>"9780567589934"</f>
        <v>9780567589934</v>
      </c>
      <c r="E1446" s="2">
        <v>743216</v>
      </c>
    </row>
    <row r="1447" spans="1:5" x14ac:dyDescent="0.25">
      <c r="A1447" s="4">
        <v>41994.899097222224</v>
      </c>
      <c r="B1447" s="2" t="s">
        <v>1255</v>
      </c>
      <c r="C1447" s="2" t="s">
        <v>63</v>
      </c>
      <c r="D1447" s="2" t="str">
        <f>"9781400840441"</f>
        <v>9781400840441</v>
      </c>
      <c r="E1447" s="2">
        <v>829587</v>
      </c>
    </row>
    <row r="1448" spans="1:5" x14ac:dyDescent="0.25">
      <c r="A1448" s="4">
        <v>41994.899085648147</v>
      </c>
      <c r="B1448" s="2" t="s">
        <v>1292</v>
      </c>
      <c r="C1448" s="2" t="s">
        <v>63</v>
      </c>
      <c r="D1448" s="2" t="str">
        <f>"9781400836673"</f>
        <v>9781400836673</v>
      </c>
      <c r="E1448" s="2">
        <v>729948</v>
      </c>
    </row>
    <row r="1449" spans="1:5" x14ac:dyDescent="0.25">
      <c r="A1449" s="4">
        <v>41935.61886574074</v>
      </c>
      <c r="B1449" s="2" t="s">
        <v>3021</v>
      </c>
      <c r="C1449" s="2" t="s">
        <v>16</v>
      </c>
      <c r="D1449" s="2" t="str">
        <f>"9781462516094"</f>
        <v>9781462516094</v>
      </c>
      <c r="E1449" s="2">
        <v>1691131</v>
      </c>
    </row>
    <row r="1450" spans="1:5" x14ac:dyDescent="0.25">
      <c r="A1450" s="4">
        <v>41994.901979166665</v>
      </c>
      <c r="B1450" s="2" t="s">
        <v>768</v>
      </c>
      <c r="C1450" s="2" t="s">
        <v>119</v>
      </c>
      <c r="D1450" s="2" t="str">
        <f>"9780520942370"</f>
        <v>9780520942370</v>
      </c>
      <c r="E1450" s="2">
        <v>922916</v>
      </c>
    </row>
    <row r="1451" spans="1:5" x14ac:dyDescent="0.25">
      <c r="A1451" s="4">
        <v>41994.899074074077</v>
      </c>
      <c r="B1451" s="2" t="s">
        <v>1334</v>
      </c>
      <c r="C1451" s="2" t="s">
        <v>63</v>
      </c>
      <c r="D1451" s="2" t="str">
        <f>"9781400838097"</f>
        <v>9781400838097</v>
      </c>
      <c r="E1451" s="2">
        <v>662352</v>
      </c>
    </row>
    <row r="1452" spans="1:5" x14ac:dyDescent="0.25">
      <c r="A1452" s="4">
        <v>41905.436712962961</v>
      </c>
      <c r="B1452" s="2" t="s">
        <v>3747</v>
      </c>
      <c r="C1452" s="2" t="s">
        <v>5</v>
      </c>
      <c r="D1452" s="2" t="str">
        <f>"9780857003928"</f>
        <v>9780857003928</v>
      </c>
      <c r="E1452" s="2">
        <v>677715</v>
      </c>
    </row>
    <row r="1453" spans="1:5" x14ac:dyDescent="0.25">
      <c r="A1453" s="4">
        <v>41994.896111111113</v>
      </c>
      <c r="B1453" s="2" t="s">
        <v>1584</v>
      </c>
      <c r="C1453" s="2" t="s">
        <v>28</v>
      </c>
      <c r="D1453" s="2" t="str">
        <f>"9780253003966"</f>
        <v>9780253003966</v>
      </c>
      <c r="E1453" s="2">
        <v>501429</v>
      </c>
    </row>
    <row r="1454" spans="1:5" x14ac:dyDescent="0.25">
      <c r="A1454" s="4">
        <v>41994.896168981482</v>
      </c>
      <c r="B1454" s="2" t="s">
        <v>1459</v>
      </c>
      <c r="C1454" s="2" t="s">
        <v>28</v>
      </c>
      <c r="D1454" s="2" t="str">
        <f>"9780253010230"</f>
        <v>9780253010230</v>
      </c>
      <c r="E1454" s="2">
        <v>1520727</v>
      </c>
    </row>
    <row r="1455" spans="1:5" x14ac:dyDescent="0.25">
      <c r="A1455" s="4">
        <v>41994.885000000002</v>
      </c>
      <c r="B1455" s="2" t="s">
        <v>2110</v>
      </c>
      <c r="C1455" s="2" t="s">
        <v>18</v>
      </c>
      <c r="D1455" s="2" t="str">
        <f>"9781441138514"</f>
        <v>9781441138514</v>
      </c>
      <c r="E1455" s="2">
        <v>617194</v>
      </c>
    </row>
    <row r="1456" spans="1:5" x14ac:dyDescent="0.25">
      <c r="A1456" s="4">
        <v>41994.899097222224</v>
      </c>
      <c r="B1456" s="2" t="s">
        <v>1257</v>
      </c>
      <c r="C1456" s="2" t="s">
        <v>63</v>
      </c>
      <c r="D1456" s="2" t="str">
        <f>"9781400839988"</f>
        <v>9781400839988</v>
      </c>
      <c r="E1456" s="2">
        <v>827810</v>
      </c>
    </row>
    <row r="1457" spans="1:5" x14ac:dyDescent="0.25">
      <c r="A1457" s="4">
        <v>41933.621215277781</v>
      </c>
      <c r="B1457" s="2" t="s">
        <v>3088</v>
      </c>
      <c r="C1457" s="2" t="s">
        <v>26</v>
      </c>
      <c r="D1457" s="2" t="str">
        <f>"9780470550540"</f>
        <v>9780470550540</v>
      </c>
      <c r="E1457" s="2">
        <v>448959</v>
      </c>
    </row>
    <row r="1458" spans="1:5" x14ac:dyDescent="0.25">
      <c r="A1458" s="4">
        <v>41994.908229166664</v>
      </c>
      <c r="B1458" s="2" t="s">
        <v>227</v>
      </c>
      <c r="C1458" s="2" t="s">
        <v>26</v>
      </c>
      <c r="D1458" s="2" t="str">
        <f>"9781118038666"</f>
        <v>9781118038666</v>
      </c>
      <c r="E1458" s="2">
        <v>699495</v>
      </c>
    </row>
    <row r="1459" spans="1:5" x14ac:dyDescent="0.25">
      <c r="A1459" s="4">
        <v>41994.885011574072</v>
      </c>
      <c r="B1459" s="2" t="s">
        <v>2058</v>
      </c>
      <c r="C1459" s="2" t="s">
        <v>74</v>
      </c>
      <c r="D1459" s="2" t="str">
        <f>"9781441130525"</f>
        <v>9781441130525</v>
      </c>
      <c r="E1459" s="2">
        <v>918742</v>
      </c>
    </row>
    <row r="1460" spans="1:5" x14ac:dyDescent="0.25">
      <c r="A1460" s="4">
        <v>41994.885023148148</v>
      </c>
      <c r="B1460" s="2" t="s">
        <v>2042</v>
      </c>
      <c r="C1460" s="2" t="s">
        <v>74</v>
      </c>
      <c r="D1460" s="2" t="str">
        <f>"9781441146267"</f>
        <v>9781441146267</v>
      </c>
      <c r="E1460" s="2">
        <v>1078336</v>
      </c>
    </row>
    <row r="1461" spans="1:5" x14ac:dyDescent="0.25">
      <c r="A1461" s="4">
        <v>41910.38490740741</v>
      </c>
      <c r="B1461" s="2" t="s">
        <v>3623</v>
      </c>
      <c r="C1461" s="2" t="s">
        <v>63</v>
      </c>
      <c r="D1461" s="2" t="str">
        <f>"9781400844418"</f>
        <v>9781400844418</v>
      </c>
      <c r="E1461" s="2">
        <v>1562829</v>
      </c>
    </row>
    <row r="1462" spans="1:5" x14ac:dyDescent="0.25">
      <c r="A1462" s="4">
        <v>41994.901932870373</v>
      </c>
      <c r="B1462" s="2" t="s">
        <v>921</v>
      </c>
      <c r="C1462" s="2" t="s">
        <v>119</v>
      </c>
      <c r="D1462" s="2" t="str">
        <f>"9780520945449"</f>
        <v>9780520945449</v>
      </c>
      <c r="E1462" s="2">
        <v>547595</v>
      </c>
    </row>
    <row r="1463" spans="1:5" x14ac:dyDescent="0.25">
      <c r="A1463" s="4">
        <v>41994.901909722219</v>
      </c>
      <c r="B1463" s="2" t="s">
        <v>1024</v>
      </c>
      <c r="C1463" s="2" t="s">
        <v>119</v>
      </c>
      <c r="D1463" s="2" t="str">
        <f>"9780585176468"</f>
        <v>9780585176468</v>
      </c>
      <c r="E1463" s="2">
        <v>223599</v>
      </c>
    </row>
    <row r="1464" spans="1:5" x14ac:dyDescent="0.25">
      <c r="A1464" s="4">
        <v>41994.901967592596</v>
      </c>
      <c r="B1464" s="2" t="s">
        <v>806</v>
      </c>
      <c r="C1464" s="2" t="s">
        <v>119</v>
      </c>
      <c r="D1464" s="2" t="str">
        <f>"9780520950399"</f>
        <v>9780520950399</v>
      </c>
      <c r="E1464" s="2">
        <v>847471</v>
      </c>
    </row>
    <row r="1465" spans="1:5" x14ac:dyDescent="0.25">
      <c r="A1465" s="4">
        <v>41905.815405092595</v>
      </c>
      <c r="B1465" s="2" t="s">
        <v>3728</v>
      </c>
      <c r="C1465" s="2" t="s">
        <v>160</v>
      </c>
      <c r="D1465" s="2" t="str">
        <f>"9780470086872"</f>
        <v>9780470086872</v>
      </c>
      <c r="E1465" s="2">
        <v>270487</v>
      </c>
    </row>
    <row r="1466" spans="1:5" x14ac:dyDescent="0.25">
      <c r="A1466" s="4">
        <v>41994.899131944447</v>
      </c>
      <c r="B1466" s="2" t="s">
        <v>1148</v>
      </c>
      <c r="C1466" s="2" t="s">
        <v>63</v>
      </c>
      <c r="D1466" s="2" t="str">
        <f>"9781400848096"</f>
        <v>9781400848096</v>
      </c>
      <c r="E1466" s="2">
        <v>1275329</v>
      </c>
    </row>
    <row r="1467" spans="1:5" x14ac:dyDescent="0.25">
      <c r="A1467" s="4">
        <v>41975.40042824074</v>
      </c>
      <c r="B1467" s="2" t="s">
        <v>2861</v>
      </c>
      <c r="C1467" s="2" t="s">
        <v>205</v>
      </c>
      <c r="D1467" s="2" t="str">
        <f>"9780470449165"</f>
        <v>9780470449165</v>
      </c>
      <c r="E1467" s="2">
        <v>468768</v>
      </c>
    </row>
    <row r="1468" spans="1:5" x14ac:dyDescent="0.25">
      <c r="A1468" s="4">
        <v>41906.408356481479</v>
      </c>
      <c r="B1468" s="2" t="s">
        <v>3714</v>
      </c>
      <c r="C1468" s="2" t="s">
        <v>7</v>
      </c>
      <c r="D1468" s="2" t="str">
        <f>"9781452261652"</f>
        <v>9781452261652</v>
      </c>
      <c r="E1468" s="2">
        <v>996709</v>
      </c>
    </row>
    <row r="1469" spans="1:5" x14ac:dyDescent="0.25">
      <c r="A1469" s="4">
        <v>41926.507407407407</v>
      </c>
      <c r="B1469" s="2" t="s">
        <v>3247</v>
      </c>
      <c r="C1469" s="2" t="s">
        <v>2404</v>
      </c>
      <c r="D1469" s="2" t="str">
        <f>"9780335230075"</f>
        <v>9780335230075</v>
      </c>
      <c r="E1469" s="2">
        <v>316307</v>
      </c>
    </row>
    <row r="1470" spans="1:5" x14ac:dyDescent="0.25">
      <c r="A1470" s="4">
        <v>41994.892916666664</v>
      </c>
      <c r="B1470" s="2" t="s">
        <v>1712</v>
      </c>
      <c r="C1470" s="2" t="s">
        <v>16</v>
      </c>
      <c r="D1470" s="2" t="str">
        <f>"9781606230909"</f>
        <v>9781606230909</v>
      </c>
      <c r="E1470" s="2">
        <v>690481</v>
      </c>
    </row>
    <row r="1471" spans="1:5" x14ac:dyDescent="0.25">
      <c r="A1471" s="4">
        <v>41907.534305555557</v>
      </c>
      <c r="B1471" s="2" t="s">
        <v>3678</v>
      </c>
      <c r="C1471" s="2" t="s">
        <v>26</v>
      </c>
      <c r="D1471" s="2" t="str">
        <f>"9780471690443"</f>
        <v>9780471690443</v>
      </c>
      <c r="E1471" s="2">
        <v>469098</v>
      </c>
    </row>
    <row r="1472" spans="1:5" x14ac:dyDescent="0.25">
      <c r="A1472" s="4">
        <v>41904.905659722222</v>
      </c>
      <c r="B1472" s="2" t="s">
        <v>3759</v>
      </c>
      <c r="C1472" s="2" t="s">
        <v>26</v>
      </c>
      <c r="D1472" s="2" t="str">
        <f>"9780470545980"</f>
        <v>9780470545980</v>
      </c>
      <c r="E1472" s="2">
        <v>450132</v>
      </c>
    </row>
    <row r="1473" spans="1:5" x14ac:dyDescent="0.25">
      <c r="A1473" s="4">
        <v>41994.892905092594</v>
      </c>
      <c r="B1473" s="2" t="s">
        <v>1754</v>
      </c>
      <c r="C1473" s="2" t="s">
        <v>16</v>
      </c>
      <c r="D1473" s="2" t="str">
        <f>"9781606234907"</f>
        <v>9781606234907</v>
      </c>
      <c r="E1473" s="2">
        <v>465664</v>
      </c>
    </row>
    <row r="1474" spans="1:5" x14ac:dyDescent="0.25">
      <c r="A1474" s="4">
        <v>41861.644270833334</v>
      </c>
      <c r="B1474" s="2" t="s">
        <v>3961</v>
      </c>
      <c r="C1474" s="2" t="s">
        <v>16</v>
      </c>
      <c r="D1474" s="2" t="str">
        <f>"9781609185022"</f>
        <v>9781609185022</v>
      </c>
      <c r="E1474" s="2">
        <v>735602</v>
      </c>
    </row>
    <row r="1475" spans="1:5" x14ac:dyDescent="0.25">
      <c r="A1475" s="4">
        <v>41994.892893518518</v>
      </c>
      <c r="B1475" s="2" t="s">
        <v>1774</v>
      </c>
      <c r="C1475" s="2" t="s">
        <v>16</v>
      </c>
      <c r="D1475" s="2" t="str">
        <f>"9781606230916"</f>
        <v>9781606230916</v>
      </c>
      <c r="E1475" s="2">
        <v>360938</v>
      </c>
    </row>
    <row r="1476" spans="1:5" x14ac:dyDescent="0.25">
      <c r="A1476" s="4">
        <v>41904.520960648151</v>
      </c>
      <c r="B1476" s="2" t="s">
        <v>3777</v>
      </c>
      <c r="C1476" s="2" t="s">
        <v>26</v>
      </c>
      <c r="D1476" s="2" t="str">
        <f>"9781118082928"</f>
        <v>9781118082928</v>
      </c>
      <c r="E1476" s="2">
        <v>697630</v>
      </c>
    </row>
    <row r="1477" spans="1:5" x14ac:dyDescent="0.25">
      <c r="A1477" s="4">
        <v>41975.654293981483</v>
      </c>
      <c r="B1477" s="2" t="s">
        <v>2810</v>
      </c>
      <c r="C1477" s="2" t="s">
        <v>7</v>
      </c>
      <c r="D1477" s="2" t="str">
        <f>"9781412973366"</f>
        <v>9781412973366</v>
      </c>
      <c r="E1477" s="2">
        <v>1016394</v>
      </c>
    </row>
    <row r="1478" spans="1:5" x14ac:dyDescent="0.25">
      <c r="A1478" s="4">
        <v>41994.892939814818</v>
      </c>
      <c r="B1478" s="2" t="s">
        <v>1658</v>
      </c>
      <c r="C1478" s="2" t="s">
        <v>16</v>
      </c>
      <c r="D1478" s="2" t="str">
        <f>"9781462510030"</f>
        <v>9781462510030</v>
      </c>
      <c r="E1478" s="2">
        <v>1186794</v>
      </c>
    </row>
    <row r="1479" spans="1:5" x14ac:dyDescent="0.25">
      <c r="A1479" s="4">
        <v>41920.888506944444</v>
      </c>
      <c r="B1479" s="2" t="s">
        <v>3353</v>
      </c>
      <c r="C1479" s="2" t="s">
        <v>16</v>
      </c>
      <c r="D1479" s="2" t="str">
        <f>"9781593859213"</f>
        <v>9781593859213</v>
      </c>
      <c r="E1479" s="2">
        <v>330562</v>
      </c>
    </row>
    <row r="1480" spans="1:5" x14ac:dyDescent="0.25">
      <c r="A1480" s="4">
        <v>41981.012453703705</v>
      </c>
      <c r="B1480" s="2" t="s">
        <v>2490</v>
      </c>
      <c r="C1480" s="2" t="s">
        <v>26</v>
      </c>
      <c r="D1480" s="2" t="str">
        <f>"9781119978558"</f>
        <v>9781119978558</v>
      </c>
      <c r="E1480" s="2">
        <v>697754</v>
      </c>
    </row>
    <row r="1481" spans="1:5" x14ac:dyDescent="0.25">
      <c r="A1481" s="4">
        <v>41886.878946759258</v>
      </c>
      <c r="B1481" s="2" t="s">
        <v>3901</v>
      </c>
      <c r="C1481" s="2" t="s">
        <v>26</v>
      </c>
      <c r="D1481" s="2" t="str">
        <f>"9780470228289"</f>
        <v>9780470228289</v>
      </c>
      <c r="E1481" s="2">
        <v>353400</v>
      </c>
    </row>
    <row r="1482" spans="1:5" x14ac:dyDescent="0.25">
      <c r="A1482" s="4">
        <v>41929.596516203703</v>
      </c>
      <c r="B1482" s="2" t="s">
        <v>3169</v>
      </c>
      <c r="C1482" s="2" t="s">
        <v>160</v>
      </c>
      <c r="D1482" s="2" t="str">
        <f>"9781444314892"</f>
        <v>9781444314892</v>
      </c>
      <c r="E1482" s="2">
        <v>480445</v>
      </c>
    </row>
    <row r="1483" spans="1:5" x14ac:dyDescent="0.25">
      <c r="A1483" s="4">
        <v>41994.892928240741</v>
      </c>
      <c r="B1483" s="2" t="s">
        <v>1695</v>
      </c>
      <c r="C1483" s="2" t="s">
        <v>16</v>
      </c>
      <c r="D1483" s="2" t="str">
        <f>"9781609189501"</f>
        <v>9781609189501</v>
      </c>
      <c r="E1483" s="2">
        <v>836859</v>
      </c>
    </row>
    <row r="1484" spans="1:5" x14ac:dyDescent="0.25">
      <c r="A1484" s="4">
        <v>41976.617731481485</v>
      </c>
      <c r="B1484" s="2" t="s">
        <v>2663</v>
      </c>
      <c r="C1484" s="2" t="s">
        <v>7</v>
      </c>
      <c r="D1484" s="2" t="str">
        <f>"9781452262949"</f>
        <v>9781452262949</v>
      </c>
      <c r="E1484" s="2">
        <v>996643</v>
      </c>
    </row>
    <row r="1485" spans="1:5" x14ac:dyDescent="0.25">
      <c r="A1485" s="4">
        <v>41994.892916666664</v>
      </c>
      <c r="B1485" s="2" t="s">
        <v>1730</v>
      </c>
      <c r="C1485" s="2" t="s">
        <v>16</v>
      </c>
      <c r="D1485" s="2" t="str">
        <f>"9781609180287"</f>
        <v>9781609180287</v>
      </c>
      <c r="E1485" s="2">
        <v>605350</v>
      </c>
    </row>
    <row r="1486" spans="1:5" x14ac:dyDescent="0.25">
      <c r="A1486" s="4">
        <v>41994.892893518518</v>
      </c>
      <c r="B1486" s="2" t="s">
        <v>1730</v>
      </c>
      <c r="C1486" s="2" t="s">
        <v>16</v>
      </c>
      <c r="D1486" s="2" t="str">
        <f>"9781606231371"</f>
        <v>9781606231371</v>
      </c>
      <c r="E1486" s="2">
        <v>362557</v>
      </c>
    </row>
    <row r="1487" spans="1:5" x14ac:dyDescent="0.25">
      <c r="A1487" s="4">
        <v>41994.892939814818</v>
      </c>
      <c r="B1487" s="2" t="s">
        <v>1661</v>
      </c>
      <c r="C1487" s="2" t="s">
        <v>16</v>
      </c>
      <c r="D1487" s="2" t="str">
        <f>"9781462509461"</f>
        <v>9781462509461</v>
      </c>
      <c r="E1487" s="2">
        <v>1137445</v>
      </c>
    </row>
    <row r="1488" spans="1:5" x14ac:dyDescent="0.25">
      <c r="A1488" s="4">
        <v>41994.892893518518</v>
      </c>
      <c r="B1488" s="2" t="s">
        <v>1780</v>
      </c>
      <c r="C1488" s="2" t="s">
        <v>16</v>
      </c>
      <c r="D1488" s="2" t="str">
        <f>"9781606230077"</f>
        <v>9781606230077</v>
      </c>
      <c r="E1488" s="2">
        <v>340798</v>
      </c>
    </row>
    <row r="1489" spans="1:5" x14ac:dyDescent="0.25">
      <c r="A1489" s="4">
        <v>41836.469351851854</v>
      </c>
      <c r="B1489" s="2" t="s">
        <v>3982</v>
      </c>
      <c r="C1489" s="2" t="s">
        <v>16</v>
      </c>
      <c r="D1489" s="2" t="str">
        <f>"9781462512560"</f>
        <v>9781462512560</v>
      </c>
      <c r="E1489" s="2">
        <v>1578364</v>
      </c>
    </row>
    <row r="1490" spans="1:5" x14ac:dyDescent="0.25">
      <c r="A1490" s="4">
        <v>41815.662314814814</v>
      </c>
      <c r="B1490" s="2" t="s">
        <v>3993</v>
      </c>
      <c r="C1490" s="2" t="s">
        <v>16</v>
      </c>
      <c r="D1490" s="2" t="str">
        <f>"9781606230510"</f>
        <v>9781606230510</v>
      </c>
      <c r="E1490" s="2">
        <v>352279</v>
      </c>
    </row>
    <row r="1491" spans="1:5" x14ac:dyDescent="0.25">
      <c r="A1491" s="4">
        <v>41994.892939814818</v>
      </c>
      <c r="B1491" s="2" t="s">
        <v>1648</v>
      </c>
      <c r="C1491" s="2" t="s">
        <v>16</v>
      </c>
      <c r="D1491" s="2" t="str">
        <f>"9781462512294"</f>
        <v>9781462512294</v>
      </c>
      <c r="E1491" s="2">
        <v>1367677</v>
      </c>
    </row>
    <row r="1492" spans="1:5" x14ac:dyDescent="0.25">
      <c r="A1492" s="4">
        <v>41934.638333333336</v>
      </c>
      <c r="B1492" s="2" t="s">
        <v>3054</v>
      </c>
      <c r="C1492" s="2" t="s">
        <v>7</v>
      </c>
      <c r="D1492" s="2" t="str">
        <f>"9781452214566"</f>
        <v>9781452214566</v>
      </c>
      <c r="E1492" s="2">
        <v>996565</v>
      </c>
    </row>
    <row r="1493" spans="1:5" x14ac:dyDescent="0.25">
      <c r="A1493" s="4">
        <v>41994.908217592594</v>
      </c>
      <c r="B1493" s="2" t="s">
        <v>255</v>
      </c>
      <c r="C1493" s="2" t="s">
        <v>26</v>
      </c>
      <c r="D1493" s="2" t="str">
        <f>"9781118115909"</f>
        <v>9781118115909</v>
      </c>
      <c r="E1493" s="2">
        <v>697575</v>
      </c>
    </row>
    <row r="1494" spans="1:5" x14ac:dyDescent="0.25">
      <c r="A1494" s="4">
        <v>41920.577511574076</v>
      </c>
      <c r="B1494" s="2" t="s">
        <v>3366</v>
      </c>
      <c r="C1494" s="2" t="s">
        <v>26</v>
      </c>
      <c r="D1494" s="2" t="str">
        <f>"9780470495643"</f>
        <v>9780470495643</v>
      </c>
      <c r="E1494" s="2">
        <v>547116</v>
      </c>
    </row>
    <row r="1495" spans="1:5" x14ac:dyDescent="0.25">
      <c r="A1495" s="4">
        <v>41994.892939814818</v>
      </c>
      <c r="B1495" s="2" t="s">
        <v>1647</v>
      </c>
      <c r="C1495" s="2" t="s">
        <v>16</v>
      </c>
      <c r="D1495" s="2" t="str">
        <f>"9781462512003"</f>
        <v>9781462512003</v>
      </c>
      <c r="E1495" s="2">
        <v>1367696</v>
      </c>
    </row>
    <row r="1496" spans="1:5" x14ac:dyDescent="0.25">
      <c r="A1496" s="4">
        <v>41994.892939814818</v>
      </c>
      <c r="B1496" s="2" t="s">
        <v>1665</v>
      </c>
      <c r="C1496" s="2" t="s">
        <v>16</v>
      </c>
      <c r="D1496" s="2" t="str">
        <f>"9781462508556"</f>
        <v>9781462508556</v>
      </c>
      <c r="E1496" s="2">
        <v>1112332</v>
      </c>
    </row>
    <row r="1497" spans="1:5" x14ac:dyDescent="0.25">
      <c r="A1497" s="4">
        <v>41994.908171296294</v>
      </c>
      <c r="B1497" s="2" t="s">
        <v>378</v>
      </c>
      <c r="C1497" s="2" t="s">
        <v>26</v>
      </c>
      <c r="D1497" s="2" t="str">
        <f>"9780470183328"</f>
        <v>9780470183328</v>
      </c>
      <c r="E1497" s="2">
        <v>331382</v>
      </c>
    </row>
    <row r="1498" spans="1:5" x14ac:dyDescent="0.25">
      <c r="A1498" s="4">
        <v>41892.513703703706</v>
      </c>
      <c r="B1498" s="2" t="s">
        <v>3888</v>
      </c>
      <c r="C1498" s="2" t="s">
        <v>26</v>
      </c>
      <c r="D1498" s="2" t="str">
        <f>"9780470609170"</f>
        <v>9780470609170</v>
      </c>
      <c r="E1498" s="2">
        <v>554978</v>
      </c>
    </row>
    <row r="1499" spans="1:5" x14ac:dyDescent="0.25">
      <c r="A1499" s="4">
        <v>41921.668263888889</v>
      </c>
      <c r="B1499" s="2" t="s">
        <v>3338</v>
      </c>
      <c r="C1499" s="2" t="s">
        <v>16</v>
      </c>
      <c r="D1499" s="2" t="str">
        <f>"9781606230930"</f>
        <v>9781606230930</v>
      </c>
      <c r="E1499" s="2">
        <v>406033</v>
      </c>
    </row>
    <row r="1500" spans="1:5" x14ac:dyDescent="0.25">
      <c r="A1500" s="4">
        <v>41994.892893518518</v>
      </c>
      <c r="B1500" s="2" t="s">
        <v>1775</v>
      </c>
      <c r="C1500" s="2" t="s">
        <v>16</v>
      </c>
      <c r="D1500" s="2" t="str">
        <f>"9781606231197"</f>
        <v>9781606231197</v>
      </c>
      <c r="E1500" s="2">
        <v>354709</v>
      </c>
    </row>
    <row r="1501" spans="1:5" x14ac:dyDescent="0.25">
      <c r="A1501" s="4">
        <v>42109.838518518518</v>
      </c>
      <c r="B1501" s="2" t="s">
        <v>2242</v>
      </c>
      <c r="C1501" s="2" t="s">
        <v>160</v>
      </c>
      <c r="D1501" s="2" t="str">
        <f>"9780470873380"</f>
        <v>9780470873380</v>
      </c>
      <c r="E1501" s="2">
        <v>624388</v>
      </c>
    </row>
    <row r="1502" spans="1:5" x14ac:dyDescent="0.25">
      <c r="A1502" s="4">
        <v>41818.500590277778</v>
      </c>
      <c r="B1502" s="2" t="s">
        <v>2242</v>
      </c>
      <c r="C1502" s="2" t="s">
        <v>160</v>
      </c>
      <c r="D1502" s="2" t="str">
        <f>"9780470873380"</f>
        <v>9780470873380</v>
      </c>
      <c r="E1502" s="2">
        <v>624388</v>
      </c>
    </row>
    <row r="1503" spans="1:5" x14ac:dyDescent="0.25">
      <c r="A1503" s="4">
        <v>41994.892951388887</v>
      </c>
      <c r="B1503" s="2" t="s">
        <v>1631</v>
      </c>
      <c r="C1503" s="2" t="s">
        <v>16</v>
      </c>
      <c r="D1503" s="2" t="str">
        <f>"9781462515264"</f>
        <v>9781462515264</v>
      </c>
      <c r="E1503" s="2">
        <v>1675657</v>
      </c>
    </row>
    <row r="1504" spans="1:5" x14ac:dyDescent="0.25">
      <c r="A1504" s="4">
        <v>41994.892893518518</v>
      </c>
      <c r="B1504" s="2" t="s">
        <v>1784</v>
      </c>
      <c r="C1504" s="2" t="s">
        <v>16</v>
      </c>
      <c r="D1504" s="2" t="str">
        <f>"9781593859282"</f>
        <v>9781593859282</v>
      </c>
      <c r="E1504" s="2">
        <v>330568</v>
      </c>
    </row>
    <row r="1505" spans="1:5" x14ac:dyDescent="0.25">
      <c r="A1505" s="4">
        <v>41821.380474537036</v>
      </c>
      <c r="B1505" s="2" t="s">
        <v>3990</v>
      </c>
      <c r="C1505" s="2" t="s">
        <v>26</v>
      </c>
      <c r="D1505" s="2" t="str">
        <f>"9780470438077"</f>
        <v>9780470438077</v>
      </c>
      <c r="E1505" s="2">
        <v>469477</v>
      </c>
    </row>
    <row r="1506" spans="1:5" x14ac:dyDescent="0.25">
      <c r="A1506" s="4">
        <v>41994.908229166664</v>
      </c>
      <c r="B1506" s="2" t="s">
        <v>206</v>
      </c>
      <c r="C1506" s="2" t="s">
        <v>26</v>
      </c>
      <c r="D1506" s="2" t="str">
        <f>"9780470975169"</f>
        <v>9780470975169</v>
      </c>
      <c r="E1506" s="2">
        <v>792784</v>
      </c>
    </row>
    <row r="1507" spans="1:5" x14ac:dyDescent="0.25">
      <c r="A1507" s="4">
        <v>41975.69940972222</v>
      </c>
      <c r="B1507" s="2" t="s">
        <v>2805</v>
      </c>
      <c r="C1507" s="2" t="s">
        <v>26</v>
      </c>
      <c r="D1507" s="2" t="str">
        <f>"9780470189801"</f>
        <v>9780470189801</v>
      </c>
      <c r="E1507" s="2">
        <v>353550</v>
      </c>
    </row>
    <row r="1508" spans="1:5" x14ac:dyDescent="0.25">
      <c r="A1508" s="4">
        <v>41994.892916666664</v>
      </c>
      <c r="B1508" s="2" t="s">
        <v>1721</v>
      </c>
      <c r="C1508" s="2" t="s">
        <v>16</v>
      </c>
      <c r="D1508" s="2" t="str">
        <f>"9781609181529"</f>
        <v>9781609181529</v>
      </c>
      <c r="E1508" s="2">
        <v>674981</v>
      </c>
    </row>
    <row r="1509" spans="1:5" x14ac:dyDescent="0.25">
      <c r="A1509" s="4">
        <v>41994.892893518518</v>
      </c>
      <c r="B1509" s="2" t="s">
        <v>1772</v>
      </c>
      <c r="C1509" s="2" t="s">
        <v>16</v>
      </c>
      <c r="D1509" s="2" t="str">
        <f>"9781606231395"</f>
        <v>9781606231395</v>
      </c>
      <c r="E1509" s="2">
        <v>362559</v>
      </c>
    </row>
    <row r="1510" spans="1:5" x14ac:dyDescent="0.25">
      <c r="A1510" s="4">
        <v>41994.892928240741</v>
      </c>
      <c r="B1510" s="2" t="s">
        <v>1702</v>
      </c>
      <c r="C1510" s="2" t="s">
        <v>16</v>
      </c>
      <c r="D1510" s="2" t="str">
        <f>"9781609187484"</f>
        <v>9781609187484</v>
      </c>
      <c r="E1510" s="2">
        <v>800606</v>
      </c>
    </row>
    <row r="1511" spans="1:5" x14ac:dyDescent="0.25">
      <c r="A1511" s="4">
        <v>41906.863935185182</v>
      </c>
      <c r="B1511" s="2" t="s">
        <v>3701</v>
      </c>
      <c r="C1511" s="2" t="s">
        <v>16</v>
      </c>
      <c r="D1511" s="2" t="str">
        <f>"9781593857349"</f>
        <v>9781593857349</v>
      </c>
      <c r="E1511" s="2">
        <v>320580</v>
      </c>
    </row>
    <row r="1512" spans="1:5" x14ac:dyDescent="0.25">
      <c r="A1512" s="4">
        <v>41994.908194444448</v>
      </c>
      <c r="B1512" s="2" t="s">
        <v>317</v>
      </c>
      <c r="C1512" s="2" t="s">
        <v>26</v>
      </c>
      <c r="D1512" s="2" t="str">
        <f>"9780470636787"</f>
        <v>9780470636787</v>
      </c>
      <c r="E1512" s="2">
        <v>573733</v>
      </c>
    </row>
    <row r="1513" spans="1:5" x14ac:dyDescent="0.25">
      <c r="A1513" s="4">
        <v>41900.394293981481</v>
      </c>
      <c r="B1513" s="2" t="s">
        <v>3842</v>
      </c>
      <c r="C1513" s="2" t="s">
        <v>16</v>
      </c>
      <c r="D1513" s="2" t="str">
        <f>"9781606232705"</f>
        <v>9781606232705</v>
      </c>
      <c r="E1513" s="2">
        <v>435317</v>
      </c>
    </row>
    <row r="1514" spans="1:5" x14ac:dyDescent="0.25">
      <c r="A1514" s="4">
        <v>41994.892939814818</v>
      </c>
      <c r="B1514" s="2" t="s">
        <v>1657</v>
      </c>
      <c r="C1514" s="2" t="s">
        <v>16</v>
      </c>
      <c r="D1514" s="2" t="str">
        <f>"9781462510221"</f>
        <v>9781462510221</v>
      </c>
      <c r="E1514" s="2">
        <v>1186797</v>
      </c>
    </row>
    <row r="1515" spans="1:5" x14ac:dyDescent="0.25">
      <c r="A1515" s="4">
        <v>41872.757280092592</v>
      </c>
      <c r="B1515" s="2" t="s">
        <v>3944</v>
      </c>
      <c r="C1515" s="2" t="s">
        <v>16</v>
      </c>
      <c r="D1515" s="2" t="str">
        <f>"9781462503117"</f>
        <v>9781462503117</v>
      </c>
      <c r="E1515" s="2">
        <v>836860</v>
      </c>
    </row>
    <row r="1516" spans="1:5" x14ac:dyDescent="0.25">
      <c r="A1516" s="4">
        <v>41913.608368055553</v>
      </c>
      <c r="B1516" s="2" t="s">
        <v>3538</v>
      </c>
      <c r="C1516" s="2" t="s">
        <v>16</v>
      </c>
      <c r="D1516" s="2" t="str">
        <f>"9781606239506"</f>
        <v>9781606239506</v>
      </c>
      <c r="E1516" s="2">
        <v>593769</v>
      </c>
    </row>
    <row r="1517" spans="1:5" x14ac:dyDescent="0.25">
      <c r="A1517" s="4">
        <v>41994.892928240741</v>
      </c>
      <c r="B1517" s="2" t="s">
        <v>1680</v>
      </c>
      <c r="C1517" s="2" t="s">
        <v>16</v>
      </c>
      <c r="D1517" s="2" t="str">
        <f>"9781462506507"</f>
        <v>9781462506507</v>
      </c>
      <c r="E1517" s="2">
        <v>981493</v>
      </c>
    </row>
    <row r="1518" spans="1:5" x14ac:dyDescent="0.25">
      <c r="A1518" s="4">
        <v>41994.892939814818</v>
      </c>
      <c r="B1518" s="2" t="s">
        <v>1659</v>
      </c>
      <c r="C1518" s="2" t="s">
        <v>16</v>
      </c>
      <c r="D1518" s="2" t="str">
        <f>"9781462510153"</f>
        <v>9781462510153</v>
      </c>
      <c r="E1518" s="2">
        <v>1186792</v>
      </c>
    </row>
    <row r="1519" spans="1:5" x14ac:dyDescent="0.25">
      <c r="A1519" s="4">
        <v>42162.514305555553</v>
      </c>
      <c r="B1519" s="2" t="s">
        <v>1659</v>
      </c>
      <c r="C1519" s="2" t="s">
        <v>16</v>
      </c>
      <c r="D1519" s="2" t="str">
        <f>"9781462510153"</f>
        <v>9781462510153</v>
      </c>
      <c r="E1519" s="2">
        <v>1186792</v>
      </c>
    </row>
    <row r="1520" spans="1:5" x14ac:dyDescent="0.25">
      <c r="A1520" s="4">
        <v>41926.414930555555</v>
      </c>
      <c r="B1520" s="2" t="s">
        <v>3252</v>
      </c>
      <c r="C1520" s="2" t="s">
        <v>26</v>
      </c>
      <c r="D1520" s="2" t="str">
        <f>"9781405150125"</f>
        <v>9781405150125</v>
      </c>
      <c r="E1520" s="2">
        <v>239900</v>
      </c>
    </row>
    <row r="1521" spans="1:5" x14ac:dyDescent="0.25">
      <c r="A1521" s="4">
        <v>41979.966678240744</v>
      </c>
      <c r="B1521" s="2" t="s">
        <v>2525</v>
      </c>
      <c r="C1521" s="2" t="s">
        <v>7</v>
      </c>
      <c r="D1521" s="2" t="str">
        <f>"9781452214856"</f>
        <v>9781452214856</v>
      </c>
      <c r="E1521" s="2">
        <v>996562</v>
      </c>
    </row>
    <row r="1522" spans="1:5" x14ac:dyDescent="0.25">
      <c r="A1522" s="4">
        <v>41987.845393518517</v>
      </c>
      <c r="B1522" s="2" t="s">
        <v>2307</v>
      </c>
      <c r="C1522" s="2" t="s">
        <v>16</v>
      </c>
      <c r="D1522" s="2" t="str">
        <f>"9781593856953"</f>
        <v>9781593856953</v>
      </c>
      <c r="E1522" s="2">
        <v>1185072</v>
      </c>
    </row>
    <row r="1523" spans="1:5" x14ac:dyDescent="0.25">
      <c r="A1523" s="4">
        <v>41977.959756944445</v>
      </c>
      <c r="B1523" s="2" t="s">
        <v>2585</v>
      </c>
      <c r="C1523" s="2" t="s">
        <v>7</v>
      </c>
      <c r="D1523" s="2" t="str">
        <f>"9781452261706"</f>
        <v>9781452261706</v>
      </c>
      <c r="E1523" s="2">
        <v>996668</v>
      </c>
    </row>
    <row r="1524" spans="1:5" x14ac:dyDescent="0.25">
      <c r="A1524" s="4">
        <v>41994.889884259261</v>
      </c>
      <c r="B1524" s="2" t="s">
        <v>1867</v>
      </c>
      <c r="C1524" s="2" t="s">
        <v>72</v>
      </c>
      <c r="D1524" s="2" t="str">
        <f>"9780748646326"</f>
        <v>9780748646326</v>
      </c>
      <c r="E1524" s="2">
        <v>716570</v>
      </c>
    </row>
    <row r="1525" spans="1:5" x14ac:dyDescent="0.25">
      <c r="A1525" s="4">
        <v>41908.589722222219</v>
      </c>
      <c r="B1525" s="2" t="s">
        <v>3648</v>
      </c>
      <c r="C1525" s="2" t="s">
        <v>28</v>
      </c>
      <c r="D1525" s="2" t="str">
        <f>"9780253011756"</f>
        <v>9780253011756</v>
      </c>
      <c r="E1525" s="2">
        <v>1659372</v>
      </c>
    </row>
    <row r="1526" spans="1:5" x14ac:dyDescent="0.25">
      <c r="A1526" s="4">
        <v>41994.902002314811</v>
      </c>
      <c r="B1526" s="2" t="s">
        <v>699</v>
      </c>
      <c r="C1526" s="2" t="s">
        <v>119</v>
      </c>
      <c r="D1526" s="2" t="str">
        <f>"9780520956551"</f>
        <v>9780520956551</v>
      </c>
      <c r="E1526" s="2">
        <v>1251020</v>
      </c>
    </row>
    <row r="1527" spans="1:5" x14ac:dyDescent="0.25">
      <c r="A1527" s="4">
        <v>41994.884976851848</v>
      </c>
      <c r="B1527" s="2" t="s">
        <v>2155</v>
      </c>
      <c r="C1527" s="2" t="s">
        <v>18</v>
      </c>
      <c r="D1527" s="2" t="str">
        <f>"9781847142054"</f>
        <v>9781847142054</v>
      </c>
      <c r="E1527" s="2">
        <v>436573</v>
      </c>
    </row>
    <row r="1528" spans="1:5" x14ac:dyDescent="0.25">
      <c r="A1528" s="4">
        <v>41976.565092592595</v>
      </c>
      <c r="B1528" s="2" t="s">
        <v>2681</v>
      </c>
      <c r="C1528" s="2" t="s">
        <v>63</v>
      </c>
      <c r="D1528" s="2" t="str">
        <f>"9781400826087"</f>
        <v>9781400826087</v>
      </c>
      <c r="E1528" s="2">
        <v>457852</v>
      </c>
    </row>
    <row r="1529" spans="1:5" x14ac:dyDescent="0.25">
      <c r="A1529" s="4">
        <v>41994.901990740742</v>
      </c>
      <c r="B1529" s="2" t="s">
        <v>735</v>
      </c>
      <c r="C1529" s="2" t="s">
        <v>119</v>
      </c>
      <c r="D1529" s="2" t="str">
        <f>"9780520954489"</f>
        <v>9780520954489</v>
      </c>
      <c r="E1529" s="2">
        <v>1092956</v>
      </c>
    </row>
    <row r="1530" spans="1:5" x14ac:dyDescent="0.25">
      <c r="A1530" s="4">
        <v>43129.65766203704</v>
      </c>
      <c r="B1530" s="2" t="s">
        <v>121</v>
      </c>
      <c r="C1530" s="2" t="s">
        <v>96</v>
      </c>
      <c r="D1530" s="2" t="str">
        <f>"9781469635347"</f>
        <v>9781469635347</v>
      </c>
      <c r="E1530" s="2">
        <v>5050638</v>
      </c>
    </row>
    <row r="1531" spans="1:5" x14ac:dyDescent="0.25">
      <c r="A1531" s="4">
        <v>41994.905613425923</v>
      </c>
      <c r="B1531" s="2" t="s">
        <v>488</v>
      </c>
      <c r="C1531" s="2" t="s">
        <v>30</v>
      </c>
      <c r="D1531" s="2" t="str">
        <f>"9781469607825"</f>
        <v>9781469607825</v>
      </c>
      <c r="E1531" s="2">
        <v>1068840</v>
      </c>
    </row>
    <row r="1532" spans="1:5" x14ac:dyDescent="0.25">
      <c r="A1532" s="4">
        <v>41899.705717592595</v>
      </c>
      <c r="B1532" s="2" t="s">
        <v>3853</v>
      </c>
      <c r="C1532" s="2" t="s">
        <v>26</v>
      </c>
      <c r="D1532" s="2" t="str">
        <f>"9780787966942"</f>
        <v>9780787966942</v>
      </c>
      <c r="E1532" s="2">
        <v>141397</v>
      </c>
    </row>
    <row r="1533" spans="1:5" x14ac:dyDescent="0.25">
      <c r="A1533" s="4">
        <v>41985.48878472222</v>
      </c>
      <c r="B1533" s="2" t="s">
        <v>2335</v>
      </c>
      <c r="C1533" s="2" t="s">
        <v>26</v>
      </c>
      <c r="D1533" s="2" t="str">
        <f>"9780471774273"</f>
        <v>9780471774273</v>
      </c>
      <c r="E1533" s="2">
        <v>251676</v>
      </c>
    </row>
    <row r="1534" spans="1:5" x14ac:dyDescent="0.25">
      <c r="A1534" s="4">
        <v>41994.908171296294</v>
      </c>
      <c r="B1534" s="2" t="s">
        <v>363</v>
      </c>
      <c r="C1534" s="2" t="s">
        <v>160</v>
      </c>
      <c r="D1534" s="2" t="str">
        <f>"9780470396292"</f>
        <v>9780470396292</v>
      </c>
      <c r="E1534" s="2">
        <v>353367</v>
      </c>
    </row>
    <row r="1535" spans="1:5" x14ac:dyDescent="0.25">
      <c r="A1535" s="4">
        <v>41869.789849537039</v>
      </c>
      <c r="B1535" s="2" t="s">
        <v>363</v>
      </c>
      <c r="C1535" s="2" t="s">
        <v>160</v>
      </c>
      <c r="D1535" s="2" t="str">
        <f>"9780470396292"</f>
        <v>9780470396292</v>
      </c>
      <c r="E1535" s="2">
        <v>353367</v>
      </c>
    </row>
    <row r="1536" spans="1:5" x14ac:dyDescent="0.25">
      <c r="A1536" s="4">
        <v>41916.662731481483</v>
      </c>
      <c r="B1536" s="2" t="s">
        <v>3475</v>
      </c>
      <c r="C1536" s="2" t="s">
        <v>34</v>
      </c>
      <c r="D1536" s="2" t="str">
        <f>"9781845934606"</f>
        <v>9781845934606</v>
      </c>
      <c r="E1536" s="2">
        <v>361216</v>
      </c>
    </row>
    <row r="1537" spans="1:5" x14ac:dyDescent="0.25">
      <c r="A1537" s="4">
        <v>41907.340694444443</v>
      </c>
      <c r="B1537" s="2" t="s">
        <v>3691</v>
      </c>
      <c r="C1537" s="2" t="s">
        <v>26</v>
      </c>
      <c r="D1537" s="2" t="str">
        <f>"9780470590171"</f>
        <v>9780470590171</v>
      </c>
      <c r="E1537" s="2">
        <v>510110</v>
      </c>
    </row>
    <row r="1538" spans="1:5" x14ac:dyDescent="0.25">
      <c r="A1538" s="4">
        <v>41994.899074074077</v>
      </c>
      <c r="B1538" s="2" t="s">
        <v>1345</v>
      </c>
      <c r="C1538" s="2" t="s">
        <v>63</v>
      </c>
      <c r="D1538" s="2" t="str">
        <f>"9781400830466"</f>
        <v>9781400830466</v>
      </c>
      <c r="E1538" s="2">
        <v>617249</v>
      </c>
    </row>
    <row r="1539" spans="1:5" x14ac:dyDescent="0.25">
      <c r="A1539" s="4">
        <v>41994.899108796293</v>
      </c>
      <c r="B1539" s="2" t="s">
        <v>1218</v>
      </c>
      <c r="C1539" s="2" t="s">
        <v>63</v>
      </c>
      <c r="D1539" s="2" t="str">
        <f>"9781400845156"</f>
        <v>9781400845156</v>
      </c>
      <c r="E1539" s="2">
        <v>997596</v>
      </c>
    </row>
    <row r="1540" spans="1:5" x14ac:dyDescent="0.25">
      <c r="A1540" s="4">
        <v>41929.434236111112</v>
      </c>
      <c r="B1540" s="2" t="s">
        <v>3178</v>
      </c>
      <c r="C1540" s="2" t="s">
        <v>28</v>
      </c>
      <c r="D1540" s="2" t="str">
        <f>"9780253011763"</f>
        <v>9780253011763</v>
      </c>
      <c r="E1540" s="2">
        <v>1782257</v>
      </c>
    </row>
    <row r="1541" spans="1:5" x14ac:dyDescent="0.25">
      <c r="A1541" s="4">
        <v>41935.566388888888</v>
      </c>
      <c r="B1541" s="2" t="s">
        <v>3027</v>
      </c>
      <c r="C1541" s="2" t="s">
        <v>63</v>
      </c>
      <c r="D1541" s="2" t="str">
        <f>"9781400841509"</f>
        <v>9781400841509</v>
      </c>
      <c r="E1541" s="2">
        <v>804864</v>
      </c>
    </row>
    <row r="1542" spans="1:5" x14ac:dyDescent="0.25">
      <c r="A1542" s="4">
        <v>41916.849374999998</v>
      </c>
      <c r="B1542" s="2" t="s">
        <v>3470</v>
      </c>
      <c r="C1542" s="2" t="s">
        <v>63</v>
      </c>
      <c r="D1542" s="2" t="str">
        <f>"9781400836949"</f>
        <v>9781400836949</v>
      </c>
      <c r="E1542" s="2">
        <v>646747</v>
      </c>
    </row>
    <row r="1543" spans="1:5" x14ac:dyDescent="0.25">
      <c r="A1543" s="4">
        <v>41994.896145833336</v>
      </c>
      <c r="B1543" s="2" t="s">
        <v>1500</v>
      </c>
      <c r="C1543" s="2" t="s">
        <v>28</v>
      </c>
      <c r="D1543" s="2" t="str">
        <f>"9780253009647"</f>
        <v>9780253009647</v>
      </c>
      <c r="E1543" s="2">
        <v>967728</v>
      </c>
    </row>
    <row r="1544" spans="1:5" x14ac:dyDescent="0.25">
      <c r="A1544" s="4">
        <v>41994.905601851853</v>
      </c>
      <c r="B1544" s="2" t="s">
        <v>534</v>
      </c>
      <c r="C1544" s="2" t="s">
        <v>96</v>
      </c>
      <c r="D1544" s="2" t="str">
        <f>"9780807882658"</f>
        <v>9780807882658</v>
      </c>
      <c r="E1544" s="2">
        <v>877304</v>
      </c>
    </row>
    <row r="1545" spans="1:5" x14ac:dyDescent="0.25">
      <c r="A1545" s="4">
        <v>41994.892905092594</v>
      </c>
      <c r="B1545" s="2" t="s">
        <v>1741</v>
      </c>
      <c r="C1545" s="2" t="s">
        <v>16</v>
      </c>
      <c r="D1545" s="2" t="str">
        <f>"9781606235997"</f>
        <v>9781606235997</v>
      </c>
      <c r="E1545" s="2">
        <v>515894</v>
      </c>
    </row>
    <row r="1546" spans="1:5" x14ac:dyDescent="0.25">
      <c r="A1546" s="4">
        <v>41994.901967592596</v>
      </c>
      <c r="B1546" s="2" t="s">
        <v>832</v>
      </c>
      <c r="C1546" s="2" t="s">
        <v>119</v>
      </c>
      <c r="D1546" s="2" t="str">
        <f>"9780520952515"</f>
        <v>9780520952515</v>
      </c>
      <c r="E1546" s="2">
        <v>822703</v>
      </c>
    </row>
    <row r="1547" spans="1:5" x14ac:dyDescent="0.25">
      <c r="A1547" s="4">
        <v>41994.896145833336</v>
      </c>
      <c r="B1547" s="2" t="s">
        <v>1503</v>
      </c>
      <c r="C1547" s="2" t="s">
        <v>28</v>
      </c>
      <c r="D1547" s="2" t="str">
        <f>"9780253005694"</f>
        <v>9780253005694</v>
      </c>
      <c r="E1547" s="2">
        <v>923142</v>
      </c>
    </row>
    <row r="1548" spans="1:5" x14ac:dyDescent="0.25">
      <c r="A1548" s="4">
        <v>41994.896087962959</v>
      </c>
      <c r="B1548" s="2" t="s">
        <v>1607</v>
      </c>
      <c r="C1548" s="2" t="s">
        <v>28</v>
      </c>
      <c r="D1548" s="2" t="str">
        <f>"9780253111982"</f>
        <v>9780253111982</v>
      </c>
      <c r="E1548" s="2">
        <v>283661</v>
      </c>
    </row>
    <row r="1549" spans="1:5" x14ac:dyDescent="0.25">
      <c r="A1549" s="4">
        <v>41907.488888888889</v>
      </c>
      <c r="B1549" s="2" t="s">
        <v>3682</v>
      </c>
      <c r="C1549" s="2" t="s">
        <v>36</v>
      </c>
      <c r="D1549" s="2" t="str">
        <f>"9781476600055"</f>
        <v>9781476600055</v>
      </c>
      <c r="E1549" s="2">
        <v>989761</v>
      </c>
    </row>
    <row r="1550" spans="1:5" x14ac:dyDescent="0.25">
      <c r="A1550" s="4">
        <v>41911.728298611109</v>
      </c>
      <c r="B1550" s="2" t="s">
        <v>3586</v>
      </c>
      <c r="C1550" s="2" t="s">
        <v>63</v>
      </c>
      <c r="D1550" s="2" t="str">
        <f>"9781400851447"</f>
        <v>9781400851447</v>
      </c>
      <c r="E1550" s="2">
        <v>1642465</v>
      </c>
    </row>
    <row r="1551" spans="1:5" x14ac:dyDescent="0.25">
      <c r="A1551" s="4">
        <v>41834.405925925923</v>
      </c>
      <c r="B1551" s="2" t="s">
        <v>3985</v>
      </c>
      <c r="C1551" s="2" t="s">
        <v>63</v>
      </c>
      <c r="D1551" s="2" t="str">
        <f>"9781400866120"</f>
        <v>9781400866120</v>
      </c>
      <c r="E1551" s="2">
        <v>1205614</v>
      </c>
    </row>
    <row r="1552" spans="1:5" x14ac:dyDescent="0.25">
      <c r="A1552" s="4">
        <v>41914.533356481479</v>
      </c>
      <c r="B1552" s="2" t="s">
        <v>3516</v>
      </c>
      <c r="C1552" s="2" t="s">
        <v>63</v>
      </c>
      <c r="D1552" s="2" t="str">
        <f>"9781400847204"</f>
        <v>9781400847204</v>
      </c>
      <c r="E1552" s="2">
        <v>1122596</v>
      </c>
    </row>
    <row r="1553" spans="1:5" x14ac:dyDescent="0.25">
      <c r="A1553" s="4">
        <v>41994.899143518516</v>
      </c>
      <c r="B1553" s="2" t="s">
        <v>1086</v>
      </c>
      <c r="C1553" s="2" t="s">
        <v>63</v>
      </c>
      <c r="D1553" s="2" t="str">
        <f>"9781400850327"</f>
        <v>9781400850327</v>
      </c>
      <c r="E1553" s="2">
        <v>1603116</v>
      </c>
    </row>
    <row r="1554" spans="1:5" x14ac:dyDescent="0.25">
      <c r="A1554" s="4">
        <v>41994.892905092594</v>
      </c>
      <c r="B1554" s="2" t="s">
        <v>1739</v>
      </c>
      <c r="C1554" s="2" t="s">
        <v>16</v>
      </c>
      <c r="D1554" s="2" t="str">
        <f>"9781606236727"</f>
        <v>9781606236727</v>
      </c>
      <c r="E1554" s="2">
        <v>533874</v>
      </c>
    </row>
    <row r="1555" spans="1:5" x14ac:dyDescent="0.25">
      <c r="A1555" s="4">
        <v>41994.905601851853</v>
      </c>
      <c r="B1555" s="2" t="s">
        <v>540</v>
      </c>
      <c r="C1555" s="2" t="s">
        <v>424</v>
      </c>
      <c r="D1555" s="2" t="str">
        <f>"9780807863114"</f>
        <v>9780807863114</v>
      </c>
      <c r="E1555" s="2">
        <v>837896</v>
      </c>
    </row>
    <row r="1556" spans="1:5" x14ac:dyDescent="0.25">
      <c r="A1556" s="4">
        <v>41994.901909722219</v>
      </c>
      <c r="B1556" s="2" t="s">
        <v>1020</v>
      </c>
      <c r="C1556" s="2" t="s">
        <v>119</v>
      </c>
      <c r="D1556" s="2" t="str">
        <f>"9780520908833"</f>
        <v>9780520908833</v>
      </c>
      <c r="E1556" s="2">
        <v>223916</v>
      </c>
    </row>
    <row r="1557" spans="1:5" x14ac:dyDescent="0.25">
      <c r="A1557" s="4">
        <v>41994.896180555559</v>
      </c>
      <c r="B1557" s="2" t="s">
        <v>1441</v>
      </c>
      <c r="C1557" s="2" t="s">
        <v>28</v>
      </c>
      <c r="D1557" s="2" t="str">
        <f>"9780253013002"</f>
        <v>9780253013002</v>
      </c>
      <c r="E1557" s="2">
        <v>1782264</v>
      </c>
    </row>
    <row r="1558" spans="1:5" x14ac:dyDescent="0.25">
      <c r="A1558" s="4">
        <v>41974.611724537041</v>
      </c>
      <c r="B1558" s="2" t="s">
        <v>2947</v>
      </c>
      <c r="C1558" s="2" t="s">
        <v>18</v>
      </c>
      <c r="D1558" s="2" t="str">
        <f>"9781472527653"</f>
        <v>9781472527653</v>
      </c>
      <c r="E1558" s="2">
        <v>1778885</v>
      </c>
    </row>
    <row r="1559" spans="1:5" x14ac:dyDescent="0.25">
      <c r="A1559" s="4">
        <v>41981.90824074074</v>
      </c>
      <c r="B1559" s="2" t="s">
        <v>2459</v>
      </c>
      <c r="C1559" s="2" t="s">
        <v>26</v>
      </c>
      <c r="D1559" s="2" t="str">
        <f>"9781118110751"</f>
        <v>9781118110751</v>
      </c>
      <c r="E1559" s="2">
        <v>697948</v>
      </c>
    </row>
    <row r="1560" spans="1:5" x14ac:dyDescent="0.25">
      <c r="A1560" s="4">
        <v>41981.914733796293</v>
      </c>
      <c r="B1560" s="2" t="s">
        <v>2458</v>
      </c>
      <c r="C1560" s="2" t="s">
        <v>18</v>
      </c>
      <c r="D1560" s="2" t="str">
        <f>"9781441138200"</f>
        <v>9781441138200</v>
      </c>
      <c r="E1560" s="2">
        <v>601792</v>
      </c>
    </row>
    <row r="1561" spans="1:5" x14ac:dyDescent="0.25">
      <c r="A1561" s="4">
        <v>43157.414293981485</v>
      </c>
      <c r="B1561" s="2" t="s">
        <v>89</v>
      </c>
      <c r="C1561" s="2" t="s">
        <v>28</v>
      </c>
      <c r="D1561" s="2" t="str">
        <f>"9780253023216"</f>
        <v>9780253023216</v>
      </c>
      <c r="E1561" s="2">
        <v>4813363</v>
      </c>
    </row>
    <row r="1562" spans="1:5" x14ac:dyDescent="0.25">
      <c r="A1562" s="4">
        <v>41983.785266203704</v>
      </c>
      <c r="B1562" s="2" t="s">
        <v>2393</v>
      </c>
      <c r="C1562" s="2" t="s">
        <v>28</v>
      </c>
      <c r="D1562" s="2" t="str">
        <f>"9780253012081"</f>
        <v>9780253012081</v>
      </c>
      <c r="E1562" s="2">
        <v>1680202</v>
      </c>
    </row>
    <row r="1563" spans="1:5" x14ac:dyDescent="0.25">
      <c r="A1563" s="4">
        <v>41994.908171296294</v>
      </c>
      <c r="B1563" s="2" t="s">
        <v>384</v>
      </c>
      <c r="C1563" s="2" t="s">
        <v>205</v>
      </c>
      <c r="D1563" s="2" t="str">
        <f>"9780787996932"</f>
        <v>9780787996932</v>
      </c>
      <c r="E1563" s="2">
        <v>302289</v>
      </c>
    </row>
    <row r="1564" spans="1:5" x14ac:dyDescent="0.25">
      <c r="A1564" s="4">
        <v>41979.473414351851</v>
      </c>
      <c r="B1564" s="2" t="s">
        <v>2545</v>
      </c>
      <c r="C1564" s="2" t="s">
        <v>119</v>
      </c>
      <c r="D1564" s="2" t="str">
        <f>"9780520914896"</f>
        <v>9780520914896</v>
      </c>
      <c r="E1564" s="2">
        <v>763987</v>
      </c>
    </row>
    <row r="1565" spans="1:5" x14ac:dyDescent="0.25">
      <c r="A1565" s="4">
        <v>41994.901990740742</v>
      </c>
      <c r="B1565" s="2" t="s">
        <v>764</v>
      </c>
      <c r="C1565" s="2" t="s">
        <v>119</v>
      </c>
      <c r="D1565" s="2" t="str">
        <f>"9780520949621"</f>
        <v>9780520949621</v>
      </c>
      <c r="E1565" s="2">
        <v>922937</v>
      </c>
    </row>
    <row r="1566" spans="1:5" x14ac:dyDescent="0.25">
      <c r="A1566" s="4">
        <v>41994.896134259259</v>
      </c>
      <c r="B1566" s="2" t="s">
        <v>1530</v>
      </c>
      <c r="C1566" s="2" t="s">
        <v>28</v>
      </c>
      <c r="D1566" s="2" t="str">
        <f>"9780253001450"</f>
        <v>9780253001450</v>
      </c>
      <c r="E1566" s="2">
        <v>731390</v>
      </c>
    </row>
    <row r="1567" spans="1:5" x14ac:dyDescent="0.25">
      <c r="A1567" s="4">
        <v>41909.691284722219</v>
      </c>
      <c r="B1567" s="2" t="s">
        <v>3627</v>
      </c>
      <c r="C1567" s="2" t="s">
        <v>72</v>
      </c>
      <c r="D1567" s="2" t="str">
        <f>"9780748675593"</f>
        <v>9780748675593</v>
      </c>
      <c r="E1567" s="2">
        <v>1127899</v>
      </c>
    </row>
    <row r="1568" spans="1:5" x14ac:dyDescent="0.25">
      <c r="A1568" s="4">
        <v>41878.779745370368</v>
      </c>
      <c r="B1568" s="2" t="s">
        <v>3927</v>
      </c>
      <c r="C1568" s="2" t="s">
        <v>18</v>
      </c>
      <c r="D1568" s="2" t="str">
        <f>"9781441148773"</f>
        <v>9781441148773</v>
      </c>
      <c r="E1568" s="2">
        <v>894581</v>
      </c>
    </row>
    <row r="1569" spans="1:5" x14ac:dyDescent="0.25">
      <c r="A1569" s="4">
        <v>41900.575138888889</v>
      </c>
      <c r="B1569" s="2" t="s">
        <v>3836</v>
      </c>
      <c r="C1569" s="2" t="s">
        <v>1934</v>
      </c>
      <c r="D1569" s="2" t="str">
        <f>""</f>
        <v/>
      </c>
      <c r="E1569" s="2">
        <v>1744083</v>
      </c>
    </row>
    <row r="1570" spans="1:5" x14ac:dyDescent="0.25">
      <c r="A1570" s="4">
        <v>41994.889918981484</v>
      </c>
      <c r="B1570" s="2" t="s">
        <v>1847</v>
      </c>
      <c r="C1570" s="2" t="s">
        <v>72</v>
      </c>
      <c r="D1570" s="2" t="str">
        <f>"9780748645312"</f>
        <v>9780748645312</v>
      </c>
      <c r="E1570" s="2">
        <v>951323</v>
      </c>
    </row>
    <row r="1571" spans="1:5" x14ac:dyDescent="0.25">
      <c r="A1571" s="4">
        <v>41994.90824074074</v>
      </c>
      <c r="B1571" s="2" t="s">
        <v>158</v>
      </c>
      <c r="C1571" s="2" t="s">
        <v>26</v>
      </c>
      <c r="D1571" s="2" t="str">
        <f>"9781444345759"</f>
        <v>9781444345759</v>
      </c>
      <c r="E1571" s="2">
        <v>826882</v>
      </c>
    </row>
    <row r="1572" spans="1:5" x14ac:dyDescent="0.25">
      <c r="A1572" s="4">
        <v>41910.501134259262</v>
      </c>
      <c r="B1572" s="2" t="s">
        <v>3622</v>
      </c>
      <c r="C1572" s="2" t="s">
        <v>1934</v>
      </c>
      <c r="D1572" s="2" t="str">
        <f>"9781849666619"</f>
        <v>9781849666619</v>
      </c>
      <c r="E1572" s="2">
        <v>943299</v>
      </c>
    </row>
    <row r="1573" spans="1:5" x14ac:dyDescent="0.25">
      <c r="A1573" s="4">
        <v>41994.908194444448</v>
      </c>
      <c r="B1573" s="2" t="s">
        <v>308</v>
      </c>
      <c r="C1573" s="2" t="s">
        <v>160</v>
      </c>
      <c r="D1573" s="2" t="str">
        <f>"9781444329551"</f>
        <v>9781444329551</v>
      </c>
      <c r="E1573" s="2">
        <v>589156</v>
      </c>
    </row>
    <row r="1574" spans="1:5" x14ac:dyDescent="0.25">
      <c r="A1574" s="4">
        <v>41907.321863425925</v>
      </c>
      <c r="B1574" s="2" t="s">
        <v>3692</v>
      </c>
      <c r="C1574" s="2" t="s">
        <v>424</v>
      </c>
      <c r="D1574" s="2" t="str">
        <f>"9780807837733"</f>
        <v>9780807837733</v>
      </c>
      <c r="E1574" s="2">
        <v>953199</v>
      </c>
    </row>
    <row r="1575" spans="1:5" x14ac:dyDescent="0.25">
      <c r="A1575" s="4">
        <v>41974.571620370371</v>
      </c>
      <c r="B1575" s="2" t="s">
        <v>2955</v>
      </c>
      <c r="C1575" s="2" t="s">
        <v>424</v>
      </c>
      <c r="D1575" s="2" t="str">
        <f>"9780807837764"</f>
        <v>9780807837764</v>
      </c>
      <c r="E1575" s="2">
        <v>953200</v>
      </c>
    </row>
    <row r="1576" spans="1:5" x14ac:dyDescent="0.25">
      <c r="A1576" s="4">
        <v>41994.905601851853</v>
      </c>
      <c r="B1576" s="2" t="s">
        <v>513</v>
      </c>
      <c r="C1576" s="2" t="s">
        <v>424</v>
      </c>
      <c r="D1576" s="2" t="str">
        <f>"9780807836613"</f>
        <v>9780807836613</v>
      </c>
      <c r="E1576" s="2">
        <v>880421</v>
      </c>
    </row>
    <row r="1577" spans="1:5" x14ac:dyDescent="0.25">
      <c r="A1577" s="4">
        <v>41994.905613425923</v>
      </c>
      <c r="B1577" s="2" t="s">
        <v>502</v>
      </c>
      <c r="C1577" s="2" t="s">
        <v>424</v>
      </c>
      <c r="D1577" s="2" t="str">
        <f>"9780807837788"</f>
        <v>9780807837788</v>
      </c>
      <c r="E1577" s="2">
        <v>953201</v>
      </c>
    </row>
    <row r="1578" spans="1:5" x14ac:dyDescent="0.25">
      <c r="A1578" s="4">
        <v>41994.902025462965</v>
      </c>
      <c r="B1578" s="2" t="s">
        <v>629</v>
      </c>
      <c r="C1578" s="2" t="s">
        <v>119</v>
      </c>
      <c r="D1578" s="2" t="str">
        <f>"9780520960398"</f>
        <v>9780520960398</v>
      </c>
      <c r="E1578" s="2">
        <v>1826903</v>
      </c>
    </row>
    <row r="1579" spans="1:5" x14ac:dyDescent="0.25">
      <c r="A1579" s="4">
        <v>41994.901979166665</v>
      </c>
      <c r="B1579" s="2" t="s">
        <v>801</v>
      </c>
      <c r="C1579" s="2" t="s">
        <v>119</v>
      </c>
      <c r="D1579" s="2" t="str">
        <f>"9780520951969"</f>
        <v>9780520951969</v>
      </c>
      <c r="E1579" s="2">
        <v>858752</v>
      </c>
    </row>
    <row r="1580" spans="1:5" x14ac:dyDescent="0.25">
      <c r="A1580" s="4">
        <v>41851.830543981479</v>
      </c>
      <c r="B1580" s="2" t="s">
        <v>3968</v>
      </c>
      <c r="C1580" s="2" t="s">
        <v>18</v>
      </c>
      <c r="D1580" s="2" t="str">
        <f>"9781847886392"</f>
        <v>9781847886392</v>
      </c>
      <c r="E1580" s="2">
        <v>472586</v>
      </c>
    </row>
    <row r="1581" spans="1:5" x14ac:dyDescent="0.25">
      <c r="A1581" s="4">
        <v>41994.908206018517</v>
      </c>
      <c r="B1581" s="2" t="s">
        <v>277</v>
      </c>
      <c r="C1581" s="2" t="s">
        <v>26</v>
      </c>
      <c r="D1581" s="2" t="str">
        <f>"9781444395228"</f>
        <v>9781444395228</v>
      </c>
      <c r="E1581" s="2">
        <v>675252</v>
      </c>
    </row>
    <row r="1582" spans="1:5" x14ac:dyDescent="0.25">
      <c r="A1582" s="4">
        <v>41994.896111111113</v>
      </c>
      <c r="B1582" s="2" t="s">
        <v>1574</v>
      </c>
      <c r="C1582" s="2" t="s">
        <v>28</v>
      </c>
      <c r="D1582" s="2" t="str">
        <f>"9780253004673"</f>
        <v>9780253004673</v>
      </c>
      <c r="E1582" s="2">
        <v>588793</v>
      </c>
    </row>
    <row r="1583" spans="1:5" x14ac:dyDescent="0.25">
      <c r="A1583" s="4">
        <v>41975.853275462963</v>
      </c>
      <c r="B1583" s="2" t="s">
        <v>2770</v>
      </c>
      <c r="C1583" s="2" t="s">
        <v>119</v>
      </c>
      <c r="D1583" s="2" t="str">
        <f>"9780520936324"</f>
        <v>9780520936324</v>
      </c>
      <c r="E1583" s="2">
        <v>222987</v>
      </c>
    </row>
    <row r="1584" spans="1:5" x14ac:dyDescent="0.25">
      <c r="A1584" s="4">
        <v>41933.819305555553</v>
      </c>
      <c r="B1584" s="2" t="s">
        <v>3080</v>
      </c>
      <c r="C1584" s="2" t="s">
        <v>424</v>
      </c>
      <c r="D1584" s="2" t="str">
        <f>"9780807860618"</f>
        <v>9780807860618</v>
      </c>
      <c r="E1584" s="2">
        <v>427122</v>
      </c>
    </row>
    <row r="1585" spans="1:5" x14ac:dyDescent="0.25">
      <c r="A1585" s="4">
        <v>41904.367789351854</v>
      </c>
      <c r="B1585" s="2" t="s">
        <v>3783</v>
      </c>
      <c r="C1585" s="2" t="s">
        <v>160</v>
      </c>
      <c r="D1585" s="2" t="str">
        <f>"9780470692974"</f>
        <v>9780470692974</v>
      </c>
      <c r="E1585" s="2">
        <v>470642</v>
      </c>
    </row>
    <row r="1586" spans="1:5" x14ac:dyDescent="0.25">
      <c r="A1586" s="4">
        <v>41911.56287037037</v>
      </c>
      <c r="B1586" s="2" t="s">
        <v>3598</v>
      </c>
      <c r="C1586" s="2" t="s">
        <v>7</v>
      </c>
      <c r="D1586" s="2" t="str">
        <f>"9781452230771"</f>
        <v>9781452230771</v>
      </c>
      <c r="E1586" s="2">
        <v>1051651</v>
      </c>
    </row>
    <row r="1587" spans="1:5" x14ac:dyDescent="0.25">
      <c r="A1587" s="4">
        <v>41910.690810185188</v>
      </c>
      <c r="B1587" s="2" t="s">
        <v>3617</v>
      </c>
      <c r="C1587" s="2" t="s">
        <v>119</v>
      </c>
      <c r="D1587" s="2" t="str">
        <f>"9780520909205"</f>
        <v>9780520909205</v>
      </c>
      <c r="E1587" s="2">
        <v>470950</v>
      </c>
    </row>
    <row r="1588" spans="1:5" x14ac:dyDescent="0.25">
      <c r="A1588" s="4">
        <v>41918.525995370372</v>
      </c>
      <c r="B1588" s="2" t="s">
        <v>3432</v>
      </c>
      <c r="C1588" s="2" t="s">
        <v>119</v>
      </c>
      <c r="D1588" s="2" t="str">
        <f>"9780520936508"</f>
        <v>9780520936508</v>
      </c>
      <c r="E1588" s="2">
        <v>223443</v>
      </c>
    </row>
    <row r="1589" spans="1:5" x14ac:dyDescent="0.25">
      <c r="A1589" s="4">
        <v>41974.513553240744</v>
      </c>
      <c r="B1589" s="2" t="s">
        <v>2969</v>
      </c>
      <c r="C1589" s="2" t="s">
        <v>119</v>
      </c>
      <c r="D1589" s="2" t="str">
        <f>"9780520954465"</f>
        <v>9780520954465</v>
      </c>
      <c r="E1589" s="2">
        <v>1120965</v>
      </c>
    </row>
    <row r="1590" spans="1:5" x14ac:dyDescent="0.25">
      <c r="A1590" s="4">
        <v>41977.398298611108</v>
      </c>
      <c r="B1590" s="2" t="s">
        <v>2617</v>
      </c>
      <c r="C1590" s="2" t="s">
        <v>424</v>
      </c>
      <c r="D1590" s="2" t="str">
        <f>"9780807860083"</f>
        <v>9780807860083</v>
      </c>
      <c r="E1590" s="2">
        <v>880023</v>
      </c>
    </row>
    <row r="1591" spans="1:5" x14ac:dyDescent="0.25">
      <c r="A1591" s="4">
        <v>43140.375208333331</v>
      </c>
      <c r="B1591" s="2" t="s">
        <v>106</v>
      </c>
      <c r="C1591" s="2" t="s">
        <v>28</v>
      </c>
      <c r="D1591" s="2" t="str">
        <f>"9780253029126"</f>
        <v>9780253029126</v>
      </c>
      <c r="E1591" s="2">
        <v>4983744</v>
      </c>
    </row>
    <row r="1592" spans="1:5" x14ac:dyDescent="0.25">
      <c r="A1592" s="4">
        <v>41994.901979166665</v>
      </c>
      <c r="B1592" s="2" t="s">
        <v>787</v>
      </c>
      <c r="C1592" s="2" t="s">
        <v>119</v>
      </c>
      <c r="D1592" s="2" t="str">
        <f>"9780520952478"</f>
        <v>9780520952478</v>
      </c>
      <c r="E1592" s="2">
        <v>877897</v>
      </c>
    </row>
    <row r="1593" spans="1:5" x14ac:dyDescent="0.25">
      <c r="A1593" s="4">
        <v>41994.878761574073</v>
      </c>
      <c r="B1593" s="2" t="s">
        <v>2174</v>
      </c>
      <c r="C1593" s="2" t="s">
        <v>2170</v>
      </c>
      <c r="D1593" s="2" t="str">
        <f>"9781780329598"</f>
        <v>9781780329598</v>
      </c>
      <c r="E1593" s="2">
        <v>1696469</v>
      </c>
    </row>
    <row r="1594" spans="1:5" x14ac:dyDescent="0.25">
      <c r="A1594" s="4">
        <v>41994.896111111113</v>
      </c>
      <c r="B1594" s="2" t="s">
        <v>1581</v>
      </c>
      <c r="C1594" s="2" t="s">
        <v>28</v>
      </c>
      <c r="D1594" s="2" t="str">
        <f>"9780253003973"</f>
        <v>9780253003973</v>
      </c>
      <c r="E1594" s="2">
        <v>501435</v>
      </c>
    </row>
    <row r="1595" spans="1:5" x14ac:dyDescent="0.25">
      <c r="A1595" s="4">
        <v>41994.901921296296</v>
      </c>
      <c r="B1595" s="2" t="s">
        <v>962</v>
      </c>
      <c r="C1595" s="2" t="s">
        <v>119</v>
      </c>
      <c r="D1595" s="2" t="str">
        <f>"9780520939974"</f>
        <v>9780520939974</v>
      </c>
      <c r="E1595" s="2">
        <v>275765</v>
      </c>
    </row>
    <row r="1596" spans="1:5" x14ac:dyDescent="0.25">
      <c r="A1596" s="4">
        <v>41994.908217592594</v>
      </c>
      <c r="B1596" s="2" t="s">
        <v>259</v>
      </c>
      <c r="C1596" s="2" t="s">
        <v>26</v>
      </c>
      <c r="D1596" s="2" t="str">
        <f>"9781444344653"</f>
        <v>9781444344653</v>
      </c>
      <c r="E1596" s="2">
        <v>693789</v>
      </c>
    </row>
    <row r="1597" spans="1:5" x14ac:dyDescent="0.25">
      <c r="A1597" s="4">
        <v>41912.332106481481</v>
      </c>
      <c r="B1597" s="2" t="s">
        <v>3573</v>
      </c>
      <c r="C1597" s="2" t="s">
        <v>119</v>
      </c>
      <c r="D1597" s="2" t="str">
        <f>"9780520956865"</f>
        <v>9780520956865</v>
      </c>
      <c r="E1597" s="2">
        <v>1318190</v>
      </c>
    </row>
    <row r="1598" spans="1:5" x14ac:dyDescent="0.25">
      <c r="A1598" s="4">
        <v>41821.401574074072</v>
      </c>
      <c r="B1598" s="2" t="s">
        <v>3989</v>
      </c>
      <c r="C1598" s="2" t="s">
        <v>26</v>
      </c>
      <c r="D1598" s="2" t="str">
        <f>"9780470617595"</f>
        <v>9780470617595</v>
      </c>
      <c r="E1598" s="2">
        <v>529947</v>
      </c>
    </row>
    <row r="1599" spans="1:5" x14ac:dyDescent="0.25">
      <c r="A1599" s="4">
        <v>41974.871874999997</v>
      </c>
      <c r="B1599" s="2" t="s">
        <v>2902</v>
      </c>
      <c r="C1599" s="2" t="s">
        <v>424</v>
      </c>
      <c r="D1599" s="2" t="str">
        <f>"9780807877272"</f>
        <v>9780807877272</v>
      </c>
      <c r="E1599" s="2">
        <v>413426</v>
      </c>
    </row>
    <row r="1600" spans="1:5" x14ac:dyDescent="0.25">
      <c r="A1600" s="4">
        <v>41901.901261574072</v>
      </c>
      <c r="B1600" s="2" t="s">
        <v>3814</v>
      </c>
      <c r="C1600" s="2" t="s">
        <v>7</v>
      </c>
      <c r="D1600" s="2" t="str">
        <f>"9781452221014"</f>
        <v>9781452221014</v>
      </c>
      <c r="E1600" s="2">
        <v>996390</v>
      </c>
    </row>
    <row r="1601" spans="1:5" x14ac:dyDescent="0.25">
      <c r="A1601" s="4">
        <v>41994.899062500001</v>
      </c>
      <c r="B1601" s="2" t="s">
        <v>1384</v>
      </c>
      <c r="C1601" s="2" t="s">
        <v>63</v>
      </c>
      <c r="D1601" s="2" t="str">
        <f>"9781400831142"</f>
        <v>9781400831142</v>
      </c>
      <c r="E1601" s="2">
        <v>517059</v>
      </c>
    </row>
    <row r="1602" spans="1:5" x14ac:dyDescent="0.25">
      <c r="A1602" s="4">
        <v>43223.743159722224</v>
      </c>
      <c r="B1602" s="2" t="s">
        <v>38</v>
      </c>
      <c r="C1602" s="2" t="s">
        <v>5</v>
      </c>
      <c r="D1602" s="2" t="str">
        <f>"9780857011817"</f>
        <v>9780857011817</v>
      </c>
      <c r="E1602" s="2">
        <v>2093712</v>
      </c>
    </row>
    <row r="1603" spans="1:5" x14ac:dyDescent="0.25">
      <c r="A1603" s="4">
        <v>41994.902013888888</v>
      </c>
      <c r="B1603" s="2" t="s">
        <v>683</v>
      </c>
      <c r="C1603" s="2" t="s">
        <v>119</v>
      </c>
      <c r="D1603" s="2" t="str">
        <f>"9780520957619"</f>
        <v>9780520957619</v>
      </c>
      <c r="E1603" s="2">
        <v>1574614</v>
      </c>
    </row>
    <row r="1604" spans="1:5" x14ac:dyDescent="0.25">
      <c r="A1604" s="4">
        <v>41926.445092592592</v>
      </c>
      <c r="B1604" s="2" t="s">
        <v>3250</v>
      </c>
      <c r="C1604" s="2" t="s">
        <v>5</v>
      </c>
      <c r="D1604" s="2" t="str">
        <f>"9780857004574"</f>
        <v>9780857004574</v>
      </c>
      <c r="E1604" s="2">
        <v>770598</v>
      </c>
    </row>
    <row r="1605" spans="1:5" x14ac:dyDescent="0.25">
      <c r="A1605" s="4">
        <v>41974.661562499998</v>
      </c>
      <c r="B1605" s="2" t="s">
        <v>2938</v>
      </c>
      <c r="C1605" s="2" t="s">
        <v>5</v>
      </c>
      <c r="D1605" s="2" t="str">
        <f>"9780857005830"</f>
        <v>9780857005830</v>
      </c>
      <c r="E1605" s="2">
        <v>1037294</v>
      </c>
    </row>
    <row r="1606" spans="1:5" x14ac:dyDescent="0.25">
      <c r="A1606" s="4">
        <v>41902.608460648145</v>
      </c>
      <c r="B1606" s="2" t="s">
        <v>3806</v>
      </c>
      <c r="C1606" s="2" t="s">
        <v>7</v>
      </c>
      <c r="D1606" s="2" t="str">
        <f>"9781452210438"</f>
        <v>9781452210438</v>
      </c>
      <c r="E1606" s="2">
        <v>996273</v>
      </c>
    </row>
    <row r="1607" spans="1:5" x14ac:dyDescent="0.25">
      <c r="A1607" s="4">
        <v>41906.400208333333</v>
      </c>
      <c r="B1607" s="2" t="s">
        <v>3715</v>
      </c>
      <c r="C1607" s="2" t="s">
        <v>160</v>
      </c>
      <c r="D1607" s="2" t="str">
        <f>"9780470453452"</f>
        <v>9780470453452</v>
      </c>
      <c r="E1607" s="2">
        <v>366742</v>
      </c>
    </row>
    <row r="1608" spans="1:5" x14ac:dyDescent="0.25">
      <c r="A1608" s="4">
        <v>41994.899108796293</v>
      </c>
      <c r="B1608" s="2" t="s">
        <v>1235</v>
      </c>
      <c r="C1608" s="2" t="s">
        <v>63</v>
      </c>
      <c r="D1608" s="2" t="str">
        <f>"9781400842186"</f>
        <v>9781400842186</v>
      </c>
      <c r="E1608" s="2">
        <v>878311</v>
      </c>
    </row>
    <row r="1609" spans="1:5" x14ac:dyDescent="0.25">
      <c r="A1609" s="4">
        <v>41994.90824074074</v>
      </c>
      <c r="B1609" s="2" t="s">
        <v>184</v>
      </c>
      <c r="C1609" s="2" t="s">
        <v>160</v>
      </c>
      <c r="D1609" s="2" t="str">
        <f>"9781118154410"</f>
        <v>9781118154410</v>
      </c>
      <c r="E1609" s="2">
        <v>818833</v>
      </c>
    </row>
    <row r="1610" spans="1:5" x14ac:dyDescent="0.25">
      <c r="A1610" s="4">
        <v>41980.477870370371</v>
      </c>
      <c r="B1610" s="2" t="s">
        <v>2517</v>
      </c>
      <c r="C1610" s="2" t="s">
        <v>5</v>
      </c>
      <c r="D1610" s="2" t="str">
        <f>"9780857004888"</f>
        <v>9780857004888</v>
      </c>
      <c r="E1610" s="2">
        <v>677633</v>
      </c>
    </row>
    <row r="1611" spans="1:5" x14ac:dyDescent="0.25">
      <c r="A1611" s="4">
        <v>41929.465856481482</v>
      </c>
      <c r="B1611" s="2" t="s">
        <v>3177</v>
      </c>
      <c r="C1611" s="2" t="s">
        <v>7</v>
      </c>
      <c r="D1611" s="2" t="str">
        <f>"9781452247731"</f>
        <v>9781452247731</v>
      </c>
      <c r="E1611" s="2">
        <v>997212</v>
      </c>
    </row>
    <row r="1612" spans="1:5" x14ac:dyDescent="0.25">
      <c r="A1612" s="4">
        <v>41985.50371527778</v>
      </c>
      <c r="B1612" s="2" t="s">
        <v>2333</v>
      </c>
      <c r="C1612" s="2" t="s">
        <v>26</v>
      </c>
      <c r="D1612" s="2" t="str">
        <f>"9781118098158"</f>
        <v>9781118098158</v>
      </c>
      <c r="E1612" s="2">
        <v>697940</v>
      </c>
    </row>
    <row r="1613" spans="1:5" x14ac:dyDescent="0.25">
      <c r="A1613" s="4">
        <v>41994.901932870373</v>
      </c>
      <c r="B1613" s="2" t="s">
        <v>924</v>
      </c>
      <c r="C1613" s="2" t="s">
        <v>119</v>
      </c>
      <c r="D1613" s="2" t="str">
        <f>"9780520945999"</f>
        <v>9780520945999</v>
      </c>
      <c r="E1613" s="2">
        <v>547582</v>
      </c>
    </row>
    <row r="1614" spans="1:5" x14ac:dyDescent="0.25">
      <c r="A1614" s="4">
        <v>41912.851342592592</v>
      </c>
      <c r="B1614" s="2" t="s">
        <v>3551</v>
      </c>
      <c r="C1614" s="2" t="s">
        <v>63</v>
      </c>
      <c r="D1614" s="2" t="str">
        <f>"9781400841646"</f>
        <v>9781400841646</v>
      </c>
      <c r="E1614" s="2">
        <v>827798</v>
      </c>
    </row>
    <row r="1615" spans="1:5" x14ac:dyDescent="0.25">
      <c r="A1615" s="4">
        <v>41918.767164351855</v>
      </c>
      <c r="B1615" s="2" t="s">
        <v>3418</v>
      </c>
      <c r="C1615" s="2" t="s">
        <v>2404</v>
      </c>
      <c r="D1615" s="2" t="str">
        <f>"9780335244942"</f>
        <v>9780335244942</v>
      </c>
      <c r="E1615" s="2">
        <v>1389152</v>
      </c>
    </row>
    <row r="1616" spans="1:5" x14ac:dyDescent="0.25">
      <c r="A1616" s="4">
        <v>41994.899131944447</v>
      </c>
      <c r="B1616" s="2" t="s">
        <v>1133</v>
      </c>
      <c r="C1616" s="2" t="s">
        <v>63</v>
      </c>
      <c r="D1616" s="2" t="str">
        <f>"9781400848706"</f>
        <v>9781400848706</v>
      </c>
      <c r="E1616" s="2">
        <v>1414127</v>
      </c>
    </row>
    <row r="1617" spans="1:5" x14ac:dyDescent="0.25">
      <c r="A1617" s="4">
        <v>41994.892939814818</v>
      </c>
      <c r="B1617" s="2" t="s">
        <v>1655</v>
      </c>
      <c r="C1617" s="2" t="s">
        <v>16</v>
      </c>
      <c r="D1617" s="2" t="str">
        <f>"9781462510719"</f>
        <v>9781462510719</v>
      </c>
      <c r="E1617" s="2">
        <v>1191579</v>
      </c>
    </row>
    <row r="1618" spans="1:5" x14ac:dyDescent="0.25">
      <c r="A1618" s="4">
        <v>41912.604074074072</v>
      </c>
      <c r="B1618" s="2" t="s">
        <v>3557</v>
      </c>
      <c r="C1618" s="2" t="s">
        <v>7</v>
      </c>
      <c r="D1618" s="2" t="str">
        <f>"9780857029577"</f>
        <v>9780857029577</v>
      </c>
      <c r="E1618" s="2">
        <v>584725</v>
      </c>
    </row>
    <row r="1619" spans="1:5" x14ac:dyDescent="0.25">
      <c r="A1619" s="4">
        <v>41994.901967592596</v>
      </c>
      <c r="B1619" s="2" t="s">
        <v>841</v>
      </c>
      <c r="C1619" s="2" t="s">
        <v>119</v>
      </c>
      <c r="D1619" s="2" t="str">
        <f>"9780520950481"</f>
        <v>9780520950481</v>
      </c>
      <c r="E1619" s="2">
        <v>763989</v>
      </c>
    </row>
    <row r="1620" spans="1:5" x14ac:dyDescent="0.25">
      <c r="A1620" s="4">
        <v>41994.889861111114</v>
      </c>
      <c r="B1620" s="2" t="s">
        <v>1908</v>
      </c>
      <c r="C1620" s="2" t="s">
        <v>72</v>
      </c>
      <c r="D1620" s="2" t="str">
        <f>"9780748640225"</f>
        <v>9780748640225</v>
      </c>
      <c r="E1620" s="2">
        <v>448754</v>
      </c>
    </row>
    <row r="1621" spans="1:5" x14ac:dyDescent="0.25">
      <c r="A1621" s="4">
        <v>41974.440752314818</v>
      </c>
      <c r="B1621" s="2" t="s">
        <v>2986</v>
      </c>
      <c r="C1621" s="2" t="s">
        <v>28</v>
      </c>
      <c r="D1621" s="2" t="str">
        <f>"9780253005311"</f>
        <v>9780253005311</v>
      </c>
      <c r="E1621" s="2">
        <v>670288</v>
      </c>
    </row>
    <row r="1622" spans="1:5" x14ac:dyDescent="0.25">
      <c r="A1622" s="4">
        <v>41994.902013888888</v>
      </c>
      <c r="B1622" s="2" t="s">
        <v>674</v>
      </c>
      <c r="C1622" s="2" t="s">
        <v>119</v>
      </c>
      <c r="D1622" s="2" t="str">
        <f>"9780520939103"</f>
        <v>9780520939103</v>
      </c>
      <c r="E1622" s="2">
        <v>1618633</v>
      </c>
    </row>
    <row r="1623" spans="1:5" x14ac:dyDescent="0.25">
      <c r="A1623" s="4">
        <v>41994.901990740742</v>
      </c>
      <c r="B1623" s="2" t="s">
        <v>737</v>
      </c>
      <c r="C1623" s="2" t="s">
        <v>119</v>
      </c>
      <c r="D1623" s="2" t="str">
        <f>"9780520950009"</f>
        <v>9780520950009</v>
      </c>
      <c r="E1623" s="2">
        <v>1092953</v>
      </c>
    </row>
    <row r="1624" spans="1:5" x14ac:dyDescent="0.25">
      <c r="A1624" s="4">
        <v>41994.889930555553</v>
      </c>
      <c r="B1624" s="2" t="s">
        <v>1807</v>
      </c>
      <c r="C1624" s="2" t="s">
        <v>72</v>
      </c>
      <c r="D1624" s="2" t="str">
        <f>"9780748684144"</f>
        <v>9780748684144</v>
      </c>
      <c r="E1624" s="2">
        <v>1698590</v>
      </c>
    </row>
    <row r="1625" spans="1:5" x14ac:dyDescent="0.25">
      <c r="A1625" s="4">
        <v>41994.899108796293</v>
      </c>
      <c r="B1625" s="2" t="s">
        <v>1201</v>
      </c>
      <c r="C1625" s="2" t="s">
        <v>63</v>
      </c>
      <c r="D1625" s="2" t="str">
        <f>"9781400845903"</f>
        <v>9781400845903</v>
      </c>
      <c r="E1625" s="2">
        <v>1051862</v>
      </c>
    </row>
    <row r="1626" spans="1:5" x14ac:dyDescent="0.25">
      <c r="A1626" s="4">
        <v>41994.896122685182</v>
      </c>
      <c r="B1626" s="2" t="s">
        <v>1565</v>
      </c>
      <c r="C1626" s="2" t="s">
        <v>28</v>
      </c>
      <c r="D1626" s="2" t="str">
        <f>"9780253005106"</f>
        <v>9780253005106</v>
      </c>
      <c r="E1626" s="2">
        <v>670268</v>
      </c>
    </row>
    <row r="1627" spans="1:5" x14ac:dyDescent="0.25">
      <c r="A1627" s="4">
        <v>41927.692395833335</v>
      </c>
      <c r="B1627" s="2" t="s">
        <v>3213</v>
      </c>
      <c r="C1627" s="2" t="s">
        <v>36</v>
      </c>
      <c r="D1627" s="2" t="str">
        <f>"9780786492572"</f>
        <v>9780786492572</v>
      </c>
      <c r="E1627" s="2">
        <v>1600355</v>
      </c>
    </row>
    <row r="1628" spans="1:5" x14ac:dyDescent="0.25">
      <c r="A1628" s="4">
        <v>41994.896111111113</v>
      </c>
      <c r="B1628" s="2" t="s">
        <v>1573</v>
      </c>
      <c r="C1628" s="2" t="s">
        <v>28</v>
      </c>
      <c r="D1628" s="2" t="str">
        <f>"9780253004727"</f>
        <v>9780253004727</v>
      </c>
      <c r="E1628" s="2">
        <v>588795</v>
      </c>
    </row>
    <row r="1629" spans="1:5" x14ac:dyDescent="0.25">
      <c r="A1629" s="4">
        <v>41994.902025462965</v>
      </c>
      <c r="B1629" s="2" t="s">
        <v>649</v>
      </c>
      <c r="C1629" s="2" t="s">
        <v>119</v>
      </c>
      <c r="D1629" s="2" t="str">
        <f>"9780520958289"</f>
        <v>9780520958289</v>
      </c>
      <c r="E1629" s="2">
        <v>1711002</v>
      </c>
    </row>
    <row r="1630" spans="1:5" x14ac:dyDescent="0.25">
      <c r="A1630" s="4">
        <v>41994.901909722219</v>
      </c>
      <c r="B1630" s="2" t="s">
        <v>1004</v>
      </c>
      <c r="C1630" s="2" t="s">
        <v>119</v>
      </c>
      <c r="D1630" s="2" t="str">
        <f>"9780520927292"</f>
        <v>9780520927292</v>
      </c>
      <c r="E1630" s="2">
        <v>224222</v>
      </c>
    </row>
    <row r="1631" spans="1:5" x14ac:dyDescent="0.25">
      <c r="A1631" s="4">
        <v>41994.901990740742</v>
      </c>
      <c r="B1631" s="2" t="s">
        <v>731</v>
      </c>
      <c r="C1631" s="2" t="s">
        <v>119</v>
      </c>
      <c r="D1631" s="2" t="str">
        <f>"9780520954243"</f>
        <v>9780520954243</v>
      </c>
      <c r="E1631" s="2">
        <v>1102477</v>
      </c>
    </row>
    <row r="1632" spans="1:5" x14ac:dyDescent="0.25">
      <c r="A1632" s="4">
        <v>41994.905590277776</v>
      </c>
      <c r="B1632" s="2" t="s">
        <v>552</v>
      </c>
      <c r="C1632" s="2" t="s">
        <v>96</v>
      </c>
      <c r="D1632" s="2" t="str">
        <f>"9780807869314"</f>
        <v>9780807869314</v>
      </c>
      <c r="E1632" s="2">
        <v>775301</v>
      </c>
    </row>
    <row r="1633" spans="1:5" x14ac:dyDescent="0.25">
      <c r="A1633" s="4">
        <v>41994.90556712963</v>
      </c>
      <c r="B1633" s="2" t="s">
        <v>626</v>
      </c>
      <c r="C1633" s="2" t="s">
        <v>424</v>
      </c>
      <c r="D1633" s="2" t="str">
        <f>"9780807860571"</f>
        <v>9780807860571</v>
      </c>
      <c r="E1633" s="2">
        <v>413200</v>
      </c>
    </row>
    <row r="1634" spans="1:5" x14ac:dyDescent="0.25">
      <c r="A1634" s="4">
        <v>41974.93478009259</v>
      </c>
      <c r="B1634" s="2" t="s">
        <v>2891</v>
      </c>
      <c r="C1634" s="2" t="s">
        <v>119</v>
      </c>
      <c r="D1634" s="2" t="str">
        <f>"9780520959156"</f>
        <v>9780520959156</v>
      </c>
      <c r="E1634" s="2">
        <v>1711065</v>
      </c>
    </row>
    <row r="1635" spans="1:5" x14ac:dyDescent="0.25">
      <c r="A1635" s="4">
        <v>41994.899155092593</v>
      </c>
      <c r="B1635" s="2" t="s">
        <v>1046</v>
      </c>
      <c r="C1635" s="2" t="s">
        <v>63</v>
      </c>
      <c r="D1635" s="2" t="str">
        <f>"9781400865413"</f>
        <v>9781400865413</v>
      </c>
      <c r="E1635" s="2">
        <v>1818253</v>
      </c>
    </row>
    <row r="1636" spans="1:5" x14ac:dyDescent="0.25">
      <c r="A1636" s="4">
        <v>41931.583275462966</v>
      </c>
      <c r="B1636" s="2" t="s">
        <v>3142</v>
      </c>
      <c r="C1636" s="2" t="s">
        <v>26</v>
      </c>
      <c r="D1636" s="2" t="str">
        <f>"9780470693070"</f>
        <v>9780470693070</v>
      </c>
      <c r="E1636" s="2">
        <v>470595</v>
      </c>
    </row>
    <row r="1637" spans="1:5" x14ac:dyDescent="0.25">
      <c r="A1637" s="4">
        <v>41994.908217592594</v>
      </c>
      <c r="B1637" s="2" t="s">
        <v>252</v>
      </c>
      <c r="C1637" s="2" t="s">
        <v>26</v>
      </c>
      <c r="D1637" s="2" t="str">
        <f>"9781118100660"</f>
        <v>9781118100660</v>
      </c>
      <c r="E1637" s="2">
        <v>697652</v>
      </c>
    </row>
    <row r="1638" spans="1:5" x14ac:dyDescent="0.25">
      <c r="A1638" s="4">
        <v>41994.901944444442</v>
      </c>
      <c r="B1638" s="2" t="s">
        <v>887</v>
      </c>
      <c r="C1638" s="2" t="s">
        <v>119</v>
      </c>
      <c r="D1638" s="2" t="str">
        <f>"9780520948440"</f>
        <v>9780520948440</v>
      </c>
      <c r="E1638" s="2">
        <v>656352</v>
      </c>
    </row>
    <row r="1639" spans="1:5" x14ac:dyDescent="0.25">
      <c r="A1639" s="4">
        <v>41994.901909722219</v>
      </c>
      <c r="B1639" s="2" t="s">
        <v>1026</v>
      </c>
      <c r="C1639" s="2" t="s">
        <v>119</v>
      </c>
      <c r="D1639" s="2" t="str">
        <f>"9780520923720"</f>
        <v>9780520923720</v>
      </c>
      <c r="E1639" s="2">
        <v>223436</v>
      </c>
    </row>
    <row r="1640" spans="1:5" x14ac:dyDescent="0.25">
      <c r="A1640" s="4">
        <v>41994.889918981484</v>
      </c>
      <c r="B1640" s="2" t="s">
        <v>1846</v>
      </c>
      <c r="C1640" s="2" t="s">
        <v>72</v>
      </c>
      <c r="D1640" s="2" t="str">
        <f>"9780748629206"</f>
        <v>9780748629206</v>
      </c>
      <c r="E1640" s="2">
        <v>976893</v>
      </c>
    </row>
    <row r="1641" spans="1:5" x14ac:dyDescent="0.25">
      <c r="A1641" s="4">
        <v>41975.718275462961</v>
      </c>
      <c r="B1641" s="2" t="s">
        <v>2800</v>
      </c>
      <c r="C1641" s="2" t="s">
        <v>72</v>
      </c>
      <c r="D1641" s="2" t="str">
        <f>"9780748629213"</f>
        <v>9780748629213</v>
      </c>
      <c r="E1641" s="2">
        <v>932446</v>
      </c>
    </row>
    <row r="1642" spans="1:5" x14ac:dyDescent="0.25">
      <c r="A1642" s="4">
        <v>41994.899074074077</v>
      </c>
      <c r="B1642" s="2" t="s">
        <v>1344</v>
      </c>
      <c r="C1642" s="2" t="s">
        <v>63</v>
      </c>
      <c r="D1642" s="2" t="str">
        <f>"9781400836574"</f>
        <v>9781400836574</v>
      </c>
      <c r="E1642" s="2">
        <v>617257</v>
      </c>
    </row>
    <row r="1643" spans="1:5" x14ac:dyDescent="0.25">
      <c r="A1643" s="4">
        <v>41929.504270833335</v>
      </c>
      <c r="B1643" s="2" t="s">
        <v>3176</v>
      </c>
      <c r="C1643" s="2" t="s">
        <v>63</v>
      </c>
      <c r="D1643" s="2" t="str">
        <f>"9781400850235"</f>
        <v>9781400850235</v>
      </c>
      <c r="E1643" s="2">
        <v>1584940</v>
      </c>
    </row>
    <row r="1644" spans="1:5" x14ac:dyDescent="0.25">
      <c r="A1644" s="4">
        <v>41994.905590277776</v>
      </c>
      <c r="B1644" s="2" t="s">
        <v>574</v>
      </c>
      <c r="C1644" s="2" t="s">
        <v>96</v>
      </c>
      <c r="D1644" s="2" t="str">
        <f>"9780807882337"</f>
        <v>9780807882337</v>
      </c>
      <c r="E1644" s="2">
        <v>655816</v>
      </c>
    </row>
    <row r="1645" spans="1:5" x14ac:dyDescent="0.25">
      <c r="A1645" s="4">
        <v>41994.908182870371</v>
      </c>
      <c r="B1645" s="2" t="s">
        <v>345</v>
      </c>
      <c r="C1645" s="2" t="s">
        <v>26</v>
      </c>
      <c r="D1645" s="2" t="str">
        <f>"9780787974527"</f>
        <v>9780787974527</v>
      </c>
      <c r="E1645" s="2">
        <v>469023</v>
      </c>
    </row>
    <row r="1646" spans="1:5" x14ac:dyDescent="0.25">
      <c r="A1646" s="4">
        <v>41994.899097222224</v>
      </c>
      <c r="B1646" s="2" t="s">
        <v>1267</v>
      </c>
      <c r="C1646" s="2" t="s">
        <v>63</v>
      </c>
      <c r="D1646" s="2" t="str">
        <f>"9781400840298"</f>
        <v>9781400840298</v>
      </c>
      <c r="E1646" s="2">
        <v>787347</v>
      </c>
    </row>
    <row r="1647" spans="1:5" x14ac:dyDescent="0.25">
      <c r="A1647" s="4">
        <v>41994.908229166664</v>
      </c>
      <c r="B1647" s="2" t="s">
        <v>217</v>
      </c>
      <c r="C1647" s="2" t="s">
        <v>26</v>
      </c>
      <c r="D1647" s="2" t="str">
        <f>"9780470933732"</f>
        <v>9780470933732</v>
      </c>
      <c r="E1647" s="2">
        <v>706696</v>
      </c>
    </row>
    <row r="1648" spans="1:5" x14ac:dyDescent="0.25">
      <c r="A1648" s="4">
        <v>41936.472187500003</v>
      </c>
      <c r="B1648" s="2" t="s">
        <v>3004</v>
      </c>
      <c r="C1648" s="2" t="s">
        <v>63</v>
      </c>
      <c r="D1648" s="2" t="str">
        <f>"9781400865277"</f>
        <v>9781400865277</v>
      </c>
      <c r="E1648" s="2">
        <v>1759535</v>
      </c>
    </row>
    <row r="1649" spans="1:5" x14ac:dyDescent="0.25">
      <c r="A1649" s="4">
        <v>41994.889872685184</v>
      </c>
      <c r="B1649" s="2" t="s">
        <v>1878</v>
      </c>
      <c r="C1649" s="2" t="s">
        <v>72</v>
      </c>
      <c r="D1649" s="2" t="str">
        <f>"9780748643677"</f>
        <v>9780748643677</v>
      </c>
      <c r="E1649" s="2">
        <v>624271</v>
      </c>
    </row>
    <row r="1650" spans="1:5" x14ac:dyDescent="0.25">
      <c r="A1650" s="4">
        <v>41906.574895833335</v>
      </c>
      <c r="B1650" s="2" t="s">
        <v>3710</v>
      </c>
      <c r="C1650" s="2" t="s">
        <v>119</v>
      </c>
      <c r="D1650" s="2" t="str">
        <f>"9780520923478"</f>
        <v>9780520923478</v>
      </c>
      <c r="E1650" s="2">
        <v>224204</v>
      </c>
    </row>
    <row r="1651" spans="1:5" x14ac:dyDescent="0.25">
      <c r="A1651" s="4">
        <v>41994.899108796293</v>
      </c>
      <c r="B1651" s="2" t="s">
        <v>1226</v>
      </c>
      <c r="C1651" s="2" t="s">
        <v>63</v>
      </c>
      <c r="D1651" s="2" t="str">
        <f>"9781400842384"</f>
        <v>9781400842384</v>
      </c>
      <c r="E1651" s="2">
        <v>902771</v>
      </c>
    </row>
    <row r="1652" spans="1:5" x14ac:dyDescent="0.25">
      <c r="A1652" s="4">
        <v>41994.901944444442</v>
      </c>
      <c r="B1652" s="2" t="s">
        <v>882</v>
      </c>
      <c r="C1652" s="2" t="s">
        <v>119</v>
      </c>
      <c r="D1652" s="2" t="str">
        <f>"9780520949478"</f>
        <v>9780520949478</v>
      </c>
      <c r="E1652" s="2">
        <v>656672</v>
      </c>
    </row>
    <row r="1653" spans="1:5" x14ac:dyDescent="0.25">
      <c r="A1653" s="4">
        <v>43129.67082175926</v>
      </c>
      <c r="B1653" s="2" t="s">
        <v>118</v>
      </c>
      <c r="C1653" s="2" t="s">
        <v>119</v>
      </c>
      <c r="D1653" s="2" t="str">
        <f>"9780520966758"</f>
        <v>9780520966758</v>
      </c>
      <c r="E1653" s="2">
        <v>4797580</v>
      </c>
    </row>
    <row r="1654" spans="1:5" x14ac:dyDescent="0.25">
      <c r="A1654" s="4">
        <v>41884.526875000003</v>
      </c>
      <c r="B1654" s="2" t="s">
        <v>3912</v>
      </c>
      <c r="C1654" s="2" t="s">
        <v>74</v>
      </c>
      <c r="D1654" s="2" t="str">
        <f>"9781441183071"</f>
        <v>9781441183071</v>
      </c>
      <c r="E1654" s="2">
        <v>601811</v>
      </c>
    </row>
    <row r="1655" spans="1:5" x14ac:dyDescent="0.25">
      <c r="A1655" s="4">
        <v>41994.905590277776</v>
      </c>
      <c r="B1655" s="2" t="s">
        <v>547</v>
      </c>
      <c r="C1655" s="2" t="s">
        <v>96</v>
      </c>
      <c r="D1655" s="2" t="str">
        <f>"9780807869161"</f>
        <v>9780807869161</v>
      </c>
      <c r="E1655" s="2">
        <v>819536</v>
      </c>
    </row>
    <row r="1656" spans="1:5" x14ac:dyDescent="0.25">
      <c r="A1656" s="4">
        <v>41976.570081018515</v>
      </c>
      <c r="B1656" s="2" t="s">
        <v>2680</v>
      </c>
      <c r="C1656" s="2" t="s">
        <v>36</v>
      </c>
      <c r="D1656" s="2" t="str">
        <f>"9780786485727"</f>
        <v>9780786485727</v>
      </c>
      <c r="E1656" s="2">
        <v>679281</v>
      </c>
    </row>
    <row r="1657" spans="1:5" x14ac:dyDescent="0.25">
      <c r="A1657" s="4">
        <v>41994.892928240741</v>
      </c>
      <c r="B1657" s="2" t="s">
        <v>1686</v>
      </c>
      <c r="C1657" s="2" t="s">
        <v>16</v>
      </c>
      <c r="D1657" s="2" t="str">
        <f>"9781462504039"</f>
        <v>9781462504039</v>
      </c>
      <c r="E1657" s="2">
        <v>886774</v>
      </c>
    </row>
    <row r="1658" spans="1:5" x14ac:dyDescent="0.25">
      <c r="A1658" s="4">
        <v>41975.926423611112</v>
      </c>
      <c r="B1658" s="2" t="s">
        <v>2752</v>
      </c>
      <c r="C1658" s="2" t="s">
        <v>63</v>
      </c>
      <c r="D1658" s="2" t="str">
        <f>"9781400865093"</f>
        <v>9781400865093</v>
      </c>
      <c r="E1658" s="2">
        <v>1765129</v>
      </c>
    </row>
    <row r="1659" spans="1:5" x14ac:dyDescent="0.25">
      <c r="A1659" s="4">
        <v>41934.086701388886</v>
      </c>
      <c r="B1659" s="2" t="s">
        <v>3072</v>
      </c>
      <c r="C1659" s="2" t="s">
        <v>2283</v>
      </c>
      <c r="D1659" s="2" t="str">
        <f>"9789027290410"</f>
        <v>9789027290410</v>
      </c>
      <c r="E1659" s="2">
        <v>622683</v>
      </c>
    </row>
    <row r="1660" spans="1:5" x14ac:dyDescent="0.25">
      <c r="A1660" s="4">
        <v>41994.885046296295</v>
      </c>
      <c r="B1660" s="2" t="s">
        <v>1967</v>
      </c>
      <c r="C1660" s="2" t="s">
        <v>18</v>
      </c>
      <c r="D1660" s="2" t="str">
        <f>"9780567445476"</f>
        <v>9780567445476</v>
      </c>
      <c r="E1660" s="2">
        <v>1589519</v>
      </c>
    </row>
    <row r="1661" spans="1:5" x14ac:dyDescent="0.25">
      <c r="A1661" s="4">
        <v>41881.900567129633</v>
      </c>
      <c r="B1661" s="2" t="s">
        <v>3919</v>
      </c>
      <c r="C1661" s="2" t="s">
        <v>26</v>
      </c>
      <c r="D1661" s="2" t="str">
        <f>"9780471256908"</f>
        <v>9780471256908</v>
      </c>
      <c r="E1661" s="2">
        <v>157903</v>
      </c>
    </row>
    <row r="1662" spans="1:5" x14ac:dyDescent="0.25">
      <c r="A1662" s="4">
        <v>41978.006111111114</v>
      </c>
      <c r="B1662" s="2" t="s">
        <v>2581</v>
      </c>
      <c r="C1662" s="2" t="s">
        <v>28</v>
      </c>
      <c r="D1662" s="2" t="str">
        <f>"9780253003164"</f>
        <v>9780253003164</v>
      </c>
      <c r="E1662" s="2">
        <v>455797</v>
      </c>
    </row>
    <row r="1663" spans="1:5" x14ac:dyDescent="0.25">
      <c r="A1663" s="4">
        <v>43207.449363425927</v>
      </c>
      <c r="B1663" s="2" t="s">
        <v>53</v>
      </c>
      <c r="C1663" s="2" t="s">
        <v>36</v>
      </c>
      <c r="D1663" s="2" t="str">
        <f>"9780786493395"</f>
        <v>9780786493395</v>
      </c>
      <c r="E1663" s="2">
        <v>2044612</v>
      </c>
    </row>
    <row r="1664" spans="1:5" x14ac:dyDescent="0.25">
      <c r="A1664" s="4">
        <v>41907.4221412037</v>
      </c>
      <c r="B1664" s="2" t="s">
        <v>3687</v>
      </c>
      <c r="C1664" s="2" t="s">
        <v>28</v>
      </c>
      <c r="D1664" s="2" t="str">
        <f>"9780253012401"</f>
        <v>9780253012401</v>
      </c>
      <c r="E1664" s="2">
        <v>1207318</v>
      </c>
    </row>
    <row r="1665" spans="1:5" x14ac:dyDescent="0.25">
      <c r="A1665" s="4">
        <v>41994.905624999999</v>
      </c>
      <c r="B1665" s="2" t="s">
        <v>469</v>
      </c>
      <c r="C1665" s="2" t="s">
        <v>96</v>
      </c>
      <c r="D1665" s="2" t="str">
        <f>"9781469614519"</f>
        <v>9781469614519</v>
      </c>
      <c r="E1665" s="2">
        <v>1655856</v>
      </c>
    </row>
    <row r="1666" spans="1:5" x14ac:dyDescent="0.25">
      <c r="A1666" s="4">
        <v>41914.529513888891</v>
      </c>
      <c r="B1666" s="2" t="s">
        <v>3517</v>
      </c>
      <c r="C1666" s="2" t="s">
        <v>16</v>
      </c>
      <c r="D1666" s="2" t="str">
        <f>"9781606231630"</f>
        <v>9781606231630</v>
      </c>
      <c r="E1666" s="2">
        <v>362561</v>
      </c>
    </row>
    <row r="1667" spans="1:5" x14ac:dyDescent="0.25">
      <c r="A1667" s="4">
        <v>41917.915451388886</v>
      </c>
      <c r="B1667" s="2" t="s">
        <v>3448</v>
      </c>
      <c r="C1667" s="2" t="s">
        <v>26</v>
      </c>
      <c r="D1667" s="2" t="str">
        <f>"9781444359688"</f>
        <v>9781444359688</v>
      </c>
      <c r="E1667" s="2">
        <v>819436</v>
      </c>
    </row>
    <row r="1668" spans="1:5" x14ac:dyDescent="0.25">
      <c r="A1668" s="4">
        <v>41994.901921296296</v>
      </c>
      <c r="B1668" s="2" t="s">
        <v>963</v>
      </c>
      <c r="C1668" s="2" t="s">
        <v>119</v>
      </c>
      <c r="D1668" s="2" t="str">
        <f>"9780520939998"</f>
        <v>9780520939998</v>
      </c>
      <c r="E1668" s="2">
        <v>275313</v>
      </c>
    </row>
    <row r="1669" spans="1:5" x14ac:dyDescent="0.25">
      <c r="A1669" s="4">
        <v>41984.967511574076</v>
      </c>
      <c r="B1669" s="2" t="s">
        <v>2347</v>
      </c>
      <c r="C1669" s="2" t="s">
        <v>119</v>
      </c>
      <c r="D1669" s="2" t="str">
        <f>"9780520927087"</f>
        <v>9780520927087</v>
      </c>
      <c r="E1669" s="2">
        <v>787170</v>
      </c>
    </row>
    <row r="1670" spans="1:5" x14ac:dyDescent="0.25">
      <c r="A1670" s="4">
        <v>42159.538275462961</v>
      </c>
      <c r="B1670" s="2" t="s">
        <v>2233</v>
      </c>
      <c r="C1670" s="2" t="s">
        <v>96</v>
      </c>
      <c r="D1670" s="2" t="str">
        <f>"9780807895474"</f>
        <v>9780807895474</v>
      </c>
      <c r="E1670" s="2">
        <v>475169</v>
      </c>
    </row>
    <row r="1671" spans="1:5" x14ac:dyDescent="0.25">
      <c r="A1671" s="4">
        <v>41926.43891203704</v>
      </c>
      <c r="B1671" s="2" t="s">
        <v>2233</v>
      </c>
      <c r="C1671" s="2" t="s">
        <v>96</v>
      </c>
      <c r="D1671" s="2" t="str">
        <f>"9780807895474"</f>
        <v>9780807895474</v>
      </c>
      <c r="E1671" s="2">
        <v>475169</v>
      </c>
    </row>
    <row r="1672" spans="1:5" x14ac:dyDescent="0.25">
      <c r="A1672" s="4">
        <v>41901.373807870368</v>
      </c>
      <c r="B1672" s="2" t="s">
        <v>3822</v>
      </c>
      <c r="C1672" s="2" t="s">
        <v>36</v>
      </c>
      <c r="D1672" s="2" t="str">
        <f>"9781476612799"</f>
        <v>9781476612799</v>
      </c>
      <c r="E1672" s="2">
        <v>1734108</v>
      </c>
    </row>
    <row r="1673" spans="1:5" x14ac:dyDescent="0.25">
      <c r="A1673" s="4">
        <v>41983.77002314815</v>
      </c>
      <c r="B1673" s="2" t="s">
        <v>2395</v>
      </c>
      <c r="C1673" s="2" t="s">
        <v>7</v>
      </c>
      <c r="D1673" s="2" t="str">
        <f>"9781848604803"</f>
        <v>9781848604803</v>
      </c>
      <c r="E1673" s="2">
        <v>354893</v>
      </c>
    </row>
    <row r="1674" spans="1:5" x14ac:dyDescent="0.25">
      <c r="A1674" s="4">
        <v>41994.899050925924</v>
      </c>
      <c r="B1674" s="2" t="s">
        <v>1394</v>
      </c>
      <c r="C1674" s="2" t="s">
        <v>63</v>
      </c>
      <c r="D1674" s="2" t="str">
        <f>"9781400829507"</f>
        <v>9781400829507</v>
      </c>
      <c r="E1674" s="2">
        <v>475871</v>
      </c>
    </row>
    <row r="1675" spans="1:5" x14ac:dyDescent="0.25">
      <c r="A1675" s="4">
        <v>41994.901909722219</v>
      </c>
      <c r="B1675" s="2" t="s">
        <v>995</v>
      </c>
      <c r="C1675" s="2" t="s">
        <v>119</v>
      </c>
      <c r="D1675" s="2" t="str">
        <f>"9780520909625"</f>
        <v>9780520909625</v>
      </c>
      <c r="E1675" s="2">
        <v>224532</v>
      </c>
    </row>
    <row r="1676" spans="1:5" x14ac:dyDescent="0.25">
      <c r="A1676" s="4">
        <v>41980.80327546296</v>
      </c>
      <c r="B1676" s="2" t="s">
        <v>2501</v>
      </c>
      <c r="C1676" s="2" t="s">
        <v>119</v>
      </c>
      <c r="D1676" s="2" t="str">
        <f>"9780520949614"</f>
        <v>9780520949614</v>
      </c>
      <c r="E1676" s="2">
        <v>730031</v>
      </c>
    </row>
    <row r="1677" spans="1:5" x14ac:dyDescent="0.25">
      <c r="A1677" s="4">
        <v>41980.400868055556</v>
      </c>
      <c r="B1677" s="2" t="s">
        <v>2520</v>
      </c>
      <c r="C1677" s="2" t="s">
        <v>63</v>
      </c>
      <c r="D1677" s="2" t="str">
        <f>"9781400850488"</f>
        <v>9781400850488</v>
      </c>
      <c r="E1677" s="2">
        <v>1535183</v>
      </c>
    </row>
    <row r="1678" spans="1:5" x14ac:dyDescent="0.25">
      <c r="A1678" s="4">
        <v>41994.901909722219</v>
      </c>
      <c r="B1678" s="2" t="s">
        <v>1011</v>
      </c>
      <c r="C1678" s="2" t="s">
        <v>119</v>
      </c>
      <c r="D1678" s="2" t="str">
        <f>"9780520927315"</f>
        <v>9780520927315</v>
      </c>
      <c r="E1678" s="2">
        <v>224089</v>
      </c>
    </row>
    <row r="1679" spans="1:5" x14ac:dyDescent="0.25">
      <c r="A1679" s="4">
        <v>41913.429270833331</v>
      </c>
      <c r="B1679" s="2" t="s">
        <v>3541</v>
      </c>
      <c r="C1679" s="2" t="s">
        <v>26</v>
      </c>
      <c r="D1679" s="2" t="str">
        <f>"9780787997090"</f>
        <v>9780787997090</v>
      </c>
      <c r="E1679" s="2">
        <v>309807</v>
      </c>
    </row>
    <row r="1680" spans="1:5" x14ac:dyDescent="0.25">
      <c r="A1680" s="4">
        <v>41994.901979166665</v>
      </c>
      <c r="B1680" s="2" t="s">
        <v>771</v>
      </c>
      <c r="C1680" s="2" t="s">
        <v>119</v>
      </c>
      <c r="D1680" s="2" t="str">
        <f>"9780520939493"</f>
        <v>9780520939493</v>
      </c>
      <c r="E1680" s="2">
        <v>922885</v>
      </c>
    </row>
    <row r="1681" spans="1:5" x14ac:dyDescent="0.25">
      <c r="A1681" s="4">
        <v>41890.826192129629</v>
      </c>
      <c r="B1681" s="2" t="s">
        <v>3895</v>
      </c>
      <c r="C1681" s="2" t="s">
        <v>16</v>
      </c>
      <c r="D1681" s="2" t="str">
        <f>"9781462502875"</f>
        <v>9781462502875</v>
      </c>
      <c r="E1681" s="2">
        <v>775945</v>
      </c>
    </row>
    <row r="1682" spans="1:5" x14ac:dyDescent="0.25">
      <c r="A1682" s="4">
        <v>43144.385462962964</v>
      </c>
      <c r="B1682" s="2" t="s">
        <v>99</v>
      </c>
      <c r="C1682" s="2" t="s">
        <v>50</v>
      </c>
      <c r="D1682" s="2" t="str">
        <f>"9783960675891"</f>
        <v>9783960675891</v>
      </c>
      <c r="E1682" s="2">
        <v>5150429</v>
      </c>
    </row>
    <row r="1683" spans="1:5" x14ac:dyDescent="0.25">
      <c r="A1683" s="4">
        <v>41994.901944444442</v>
      </c>
      <c r="B1683" s="2" t="s">
        <v>907</v>
      </c>
      <c r="C1683" s="2" t="s">
        <v>119</v>
      </c>
      <c r="D1683" s="2" t="str">
        <f>"9780520947214"</f>
        <v>9780520947214</v>
      </c>
      <c r="E1683" s="2">
        <v>581277</v>
      </c>
    </row>
    <row r="1684" spans="1:5" x14ac:dyDescent="0.25">
      <c r="A1684" s="4">
        <v>41994.905590277776</v>
      </c>
      <c r="B1684" s="2" t="s">
        <v>546</v>
      </c>
      <c r="C1684" s="2" t="s">
        <v>96</v>
      </c>
      <c r="D1684" s="2" t="str">
        <f>"9780807869208"</f>
        <v>9780807869208</v>
      </c>
      <c r="E1684" s="2">
        <v>819537</v>
      </c>
    </row>
    <row r="1685" spans="1:5" x14ac:dyDescent="0.25">
      <c r="A1685" s="4">
        <v>41904.367905092593</v>
      </c>
      <c r="B1685" s="2" t="s">
        <v>3782</v>
      </c>
      <c r="C1685" s="2" t="s">
        <v>7</v>
      </c>
      <c r="D1685" s="2" t="str">
        <f>"9781452264110"</f>
        <v>9781452264110</v>
      </c>
      <c r="E1685" s="2">
        <v>996774</v>
      </c>
    </row>
    <row r="1686" spans="1:5" x14ac:dyDescent="0.25">
      <c r="A1686" s="4">
        <v>41883.918449074074</v>
      </c>
      <c r="B1686" s="2" t="s">
        <v>3914</v>
      </c>
      <c r="C1686" s="2" t="s">
        <v>16</v>
      </c>
      <c r="D1686" s="2" t="str">
        <f>"9781609186517"</f>
        <v>9781609186517</v>
      </c>
      <c r="E1686" s="2">
        <v>793712</v>
      </c>
    </row>
    <row r="1687" spans="1:5" x14ac:dyDescent="0.25">
      <c r="A1687" s="4">
        <v>41881.487037037034</v>
      </c>
      <c r="B1687" s="2" t="s">
        <v>3922</v>
      </c>
      <c r="C1687" s="2" t="s">
        <v>26</v>
      </c>
      <c r="D1687" s="2" t="str">
        <f>"9780470693193"</f>
        <v>9780470693193</v>
      </c>
      <c r="E1687" s="2">
        <v>351218</v>
      </c>
    </row>
    <row r="1688" spans="1:5" x14ac:dyDescent="0.25">
      <c r="A1688" s="4">
        <v>41981.579513888886</v>
      </c>
      <c r="B1688" s="2" t="s">
        <v>2474</v>
      </c>
      <c r="C1688" s="2" t="s">
        <v>16</v>
      </c>
      <c r="D1688" s="2" t="str">
        <f>"9781462506910"</f>
        <v>9781462506910</v>
      </c>
      <c r="E1688" s="2">
        <v>1115201</v>
      </c>
    </row>
    <row r="1689" spans="1:5" x14ac:dyDescent="0.25">
      <c r="A1689" s="4">
        <v>41994.885034722225</v>
      </c>
      <c r="B1689" s="2" t="s">
        <v>2013</v>
      </c>
      <c r="C1689" s="2" t="s">
        <v>18</v>
      </c>
      <c r="D1689" s="2" t="str">
        <f>"9781780935935"</f>
        <v>9781780935935</v>
      </c>
      <c r="E1689" s="2">
        <v>1224255</v>
      </c>
    </row>
    <row r="1690" spans="1:5" x14ac:dyDescent="0.25">
      <c r="A1690" s="4">
        <v>41994.899155092593</v>
      </c>
      <c r="B1690" s="2" t="s">
        <v>1048</v>
      </c>
      <c r="C1690" s="2" t="s">
        <v>63</v>
      </c>
      <c r="D1690" s="2" t="str">
        <f>"9781400851744"</f>
        <v>9781400851744</v>
      </c>
      <c r="E1690" s="2">
        <v>1787568</v>
      </c>
    </row>
    <row r="1691" spans="1:5" x14ac:dyDescent="0.25">
      <c r="A1691" s="4">
        <v>41994.889884259261</v>
      </c>
      <c r="B1691" s="2" t="s">
        <v>1871</v>
      </c>
      <c r="C1691" s="2" t="s">
        <v>72</v>
      </c>
      <c r="D1691" s="2" t="str">
        <f>"9780748632442"</f>
        <v>9780748632442</v>
      </c>
      <c r="E1691" s="2">
        <v>714142</v>
      </c>
    </row>
    <row r="1692" spans="1:5" x14ac:dyDescent="0.25">
      <c r="A1692" s="4">
        <v>41994.90824074074</v>
      </c>
      <c r="B1692" s="2" t="s">
        <v>168</v>
      </c>
      <c r="C1692" s="2" t="s">
        <v>26</v>
      </c>
      <c r="D1692" s="2" t="str">
        <f>"9781118149683"</f>
        <v>9781118149683</v>
      </c>
      <c r="E1692" s="2">
        <v>822409</v>
      </c>
    </row>
    <row r="1693" spans="1:5" x14ac:dyDescent="0.25">
      <c r="A1693" s="4">
        <v>41879.820243055554</v>
      </c>
      <c r="B1693" s="2" t="s">
        <v>3924</v>
      </c>
      <c r="C1693" s="2" t="s">
        <v>26</v>
      </c>
      <c r="D1693" s="2" t="str">
        <f>"9781118099353"</f>
        <v>9781118099353</v>
      </c>
      <c r="E1693" s="2">
        <v>817304</v>
      </c>
    </row>
    <row r="1694" spans="1:5" x14ac:dyDescent="0.25">
      <c r="A1694" s="4">
        <v>41923.387071759258</v>
      </c>
      <c r="B1694" s="2" t="s">
        <v>3311</v>
      </c>
      <c r="C1694" s="2" t="s">
        <v>2283</v>
      </c>
      <c r="D1694" s="2" t="str">
        <f>"9789027270498"</f>
        <v>9789027270498</v>
      </c>
      <c r="E1694" s="2">
        <v>1673649</v>
      </c>
    </row>
    <row r="1695" spans="1:5" x14ac:dyDescent="0.25">
      <c r="A1695" s="4">
        <v>41994.901932870373</v>
      </c>
      <c r="B1695" s="2" t="s">
        <v>932</v>
      </c>
      <c r="C1695" s="2" t="s">
        <v>119</v>
      </c>
      <c r="D1695" s="2" t="str">
        <f>"9780520924710"</f>
        <v>9780520924710</v>
      </c>
      <c r="E1695" s="2">
        <v>471004</v>
      </c>
    </row>
    <row r="1696" spans="1:5" x14ac:dyDescent="0.25">
      <c r="A1696" s="4">
        <v>41928.434942129628</v>
      </c>
      <c r="B1696" s="2" t="s">
        <v>3200</v>
      </c>
      <c r="C1696" s="2" t="s">
        <v>419</v>
      </c>
      <c r="D1696" s="2" t="str">
        <f>"9780470280065"</f>
        <v>9780470280065</v>
      </c>
      <c r="E1696" s="2">
        <v>353325</v>
      </c>
    </row>
    <row r="1697" spans="1:5" x14ac:dyDescent="0.25">
      <c r="A1697" s="4">
        <v>41918.562025462961</v>
      </c>
      <c r="B1697" s="2" t="s">
        <v>3428</v>
      </c>
      <c r="C1697" s="2" t="s">
        <v>7</v>
      </c>
      <c r="D1697" s="2" t="str">
        <f>"9781452213286"</f>
        <v>9781452213286</v>
      </c>
      <c r="E1697" s="2">
        <v>996324</v>
      </c>
    </row>
    <row r="1698" spans="1:5" x14ac:dyDescent="0.25">
      <c r="A1698" s="4">
        <v>43202.506192129629</v>
      </c>
      <c r="B1698" s="2" t="s">
        <v>61</v>
      </c>
      <c r="C1698" s="2" t="s">
        <v>50</v>
      </c>
      <c r="D1698" s="2" t="str">
        <f>"9783960675976"</f>
        <v>9783960675976</v>
      </c>
      <c r="E1698" s="2">
        <v>5150391</v>
      </c>
    </row>
    <row r="1699" spans="1:5" x14ac:dyDescent="0.25">
      <c r="A1699" s="4">
        <v>41994.901944444442</v>
      </c>
      <c r="B1699" s="2" t="s">
        <v>906</v>
      </c>
      <c r="C1699" s="2" t="s">
        <v>119</v>
      </c>
      <c r="D1699" s="2" t="str">
        <f>"9780520947368"</f>
        <v>9780520947368</v>
      </c>
      <c r="E1699" s="2">
        <v>581278</v>
      </c>
    </row>
    <row r="1700" spans="1:5" x14ac:dyDescent="0.25">
      <c r="A1700" s="4">
        <v>41927.241076388891</v>
      </c>
      <c r="B1700" s="2" t="s">
        <v>3227</v>
      </c>
      <c r="C1700" s="2" t="s">
        <v>7</v>
      </c>
      <c r="D1700" s="2" t="str">
        <f>"9781452248516"</f>
        <v>9781452248516</v>
      </c>
      <c r="E1700" s="2">
        <v>997197</v>
      </c>
    </row>
    <row r="1701" spans="1:5" x14ac:dyDescent="0.25">
      <c r="A1701" s="4">
        <v>41918.441550925927</v>
      </c>
      <c r="B1701" s="2" t="s">
        <v>3440</v>
      </c>
      <c r="C1701" s="2" t="s">
        <v>1934</v>
      </c>
      <c r="D1701" s="2" t="str">
        <f>"9781472512680"</f>
        <v>9781472512680</v>
      </c>
      <c r="E1701" s="2">
        <v>1394898</v>
      </c>
    </row>
    <row r="1702" spans="1:5" x14ac:dyDescent="0.25">
      <c r="A1702" s="4">
        <v>41994.901932870373</v>
      </c>
      <c r="B1702" s="2" t="s">
        <v>931</v>
      </c>
      <c r="C1702" s="2" t="s">
        <v>119</v>
      </c>
      <c r="D1702" s="2" t="str">
        <f>"9780520944565"</f>
        <v>9780520944565</v>
      </c>
      <c r="E1702" s="2">
        <v>477058</v>
      </c>
    </row>
    <row r="1703" spans="1:5" x14ac:dyDescent="0.25">
      <c r="A1703" s="4">
        <v>41976.544178240743</v>
      </c>
      <c r="B1703" s="2" t="s">
        <v>2691</v>
      </c>
      <c r="C1703" s="2" t="s">
        <v>424</v>
      </c>
      <c r="D1703" s="2" t="str">
        <f>"9780807895566"</f>
        <v>9780807895566</v>
      </c>
      <c r="E1703" s="2">
        <v>475159</v>
      </c>
    </row>
    <row r="1704" spans="1:5" x14ac:dyDescent="0.25">
      <c r="A1704" s="4">
        <v>41906.503483796296</v>
      </c>
      <c r="B1704" s="2" t="s">
        <v>3713</v>
      </c>
      <c r="C1704" s="2" t="s">
        <v>16</v>
      </c>
      <c r="D1704" s="2" t="str">
        <f>"9781606230534"</f>
        <v>9781606230534</v>
      </c>
      <c r="E1704" s="2">
        <v>352281</v>
      </c>
    </row>
    <row r="1705" spans="1:5" x14ac:dyDescent="0.25">
      <c r="A1705" s="4">
        <v>41876.835590277777</v>
      </c>
      <c r="B1705" s="2" t="s">
        <v>3713</v>
      </c>
      <c r="C1705" s="2" t="s">
        <v>16</v>
      </c>
      <c r="D1705" s="2" t="str">
        <f>"9781606230534"</f>
        <v>9781606230534</v>
      </c>
      <c r="E1705" s="2">
        <v>352281</v>
      </c>
    </row>
    <row r="1706" spans="1:5" x14ac:dyDescent="0.25">
      <c r="A1706" s="4">
        <v>41975.398634259262</v>
      </c>
      <c r="B1706" s="2" t="s">
        <v>2862</v>
      </c>
      <c r="C1706" s="2" t="s">
        <v>5</v>
      </c>
      <c r="D1706" s="2" t="str">
        <f>"9780857006554"</f>
        <v>9780857006554</v>
      </c>
      <c r="E1706" s="2">
        <v>1511100</v>
      </c>
    </row>
    <row r="1707" spans="1:5" x14ac:dyDescent="0.25">
      <c r="A1707" s="4">
        <v>41976.72550925926</v>
      </c>
      <c r="B1707" s="2" t="s">
        <v>2641</v>
      </c>
      <c r="C1707" s="2" t="s">
        <v>119</v>
      </c>
      <c r="D1707" s="2" t="str">
        <f>"9780520953758"</f>
        <v>9780520953758</v>
      </c>
      <c r="E1707" s="2">
        <v>1046303</v>
      </c>
    </row>
    <row r="1708" spans="1:5" x14ac:dyDescent="0.25">
      <c r="A1708" s="4">
        <v>41994.902013888888</v>
      </c>
      <c r="B1708" s="2" t="s">
        <v>669</v>
      </c>
      <c r="C1708" s="2" t="s">
        <v>119</v>
      </c>
      <c r="D1708" s="2" t="str">
        <f>"9780520957794"</f>
        <v>9780520957794</v>
      </c>
      <c r="E1708" s="2">
        <v>1645302</v>
      </c>
    </row>
    <row r="1709" spans="1:5" x14ac:dyDescent="0.25">
      <c r="A1709" s="4">
        <v>41994.878761574073</v>
      </c>
      <c r="B1709" s="2" t="s">
        <v>2188</v>
      </c>
      <c r="C1709" s="2" t="s">
        <v>2170</v>
      </c>
      <c r="D1709" s="2" t="str">
        <f>"9781780324074"</f>
        <v>9781780324074</v>
      </c>
      <c r="E1709" s="2">
        <v>1183074</v>
      </c>
    </row>
    <row r="1710" spans="1:5" x14ac:dyDescent="0.25">
      <c r="A1710" s="4">
        <v>41994.889861111114</v>
      </c>
      <c r="B1710" s="2" t="s">
        <v>1909</v>
      </c>
      <c r="C1710" s="2" t="s">
        <v>72</v>
      </c>
      <c r="D1710" s="2" t="str">
        <f>"9780748632497"</f>
        <v>9780748632497</v>
      </c>
      <c r="E1710" s="2">
        <v>448743</v>
      </c>
    </row>
    <row r="1711" spans="1:5" x14ac:dyDescent="0.25">
      <c r="A1711" s="4">
        <v>41994.892893518518</v>
      </c>
      <c r="B1711" s="2" t="s">
        <v>1792</v>
      </c>
      <c r="C1711" s="2" t="s">
        <v>16</v>
      </c>
      <c r="D1711" s="2" t="str">
        <f>"9781593855215"</f>
        <v>9781593855215</v>
      </c>
      <c r="E1711" s="2">
        <v>306765</v>
      </c>
    </row>
    <row r="1712" spans="1:5" x14ac:dyDescent="0.25">
      <c r="A1712" s="4">
        <v>41982.994351851848</v>
      </c>
      <c r="B1712" s="2" t="s">
        <v>2418</v>
      </c>
      <c r="C1712" s="2" t="s">
        <v>2404</v>
      </c>
      <c r="D1712" s="2" t="str">
        <f>"9780335247646"</f>
        <v>9780335247646</v>
      </c>
      <c r="E1712" s="2">
        <v>1676154</v>
      </c>
    </row>
    <row r="1713" spans="1:5" x14ac:dyDescent="0.25">
      <c r="A1713" s="4">
        <v>41914.564236111109</v>
      </c>
      <c r="B1713" s="2" t="s">
        <v>3515</v>
      </c>
      <c r="C1713" s="2" t="s">
        <v>119</v>
      </c>
      <c r="D1713" s="2" t="str">
        <f>"9780520954991"</f>
        <v>9780520954991</v>
      </c>
      <c r="E1713" s="2">
        <v>1104661</v>
      </c>
    </row>
    <row r="1714" spans="1:5" x14ac:dyDescent="0.25">
      <c r="A1714" s="4">
        <v>41925.416064814817</v>
      </c>
      <c r="B1714" s="2" t="s">
        <v>3280</v>
      </c>
      <c r="C1714" s="2" t="s">
        <v>119</v>
      </c>
      <c r="D1714" s="2" t="str">
        <f>"9780520955004"</f>
        <v>9780520955004</v>
      </c>
      <c r="E1714" s="2">
        <v>1114904</v>
      </c>
    </row>
    <row r="1715" spans="1:5" x14ac:dyDescent="0.25">
      <c r="A1715" s="4">
        <v>41901.481909722221</v>
      </c>
      <c r="B1715" s="2" t="s">
        <v>3821</v>
      </c>
      <c r="C1715" s="2" t="s">
        <v>2404</v>
      </c>
      <c r="D1715" s="2" t="str">
        <f>"9780335235445"</f>
        <v>9780335235445</v>
      </c>
      <c r="E1715" s="2">
        <v>316341</v>
      </c>
    </row>
    <row r="1716" spans="1:5" x14ac:dyDescent="0.25">
      <c r="A1716" s="4">
        <v>41994.89607638889</v>
      </c>
      <c r="B1716" s="2" t="s">
        <v>1618</v>
      </c>
      <c r="C1716" s="2" t="s">
        <v>28</v>
      </c>
      <c r="D1716" s="2" t="str">
        <f>"9780253108524"</f>
        <v>9780253108524</v>
      </c>
      <c r="E1716" s="2">
        <v>129783</v>
      </c>
    </row>
    <row r="1717" spans="1:5" x14ac:dyDescent="0.25">
      <c r="A1717" s="4">
        <v>41904.993333333332</v>
      </c>
      <c r="B1717" s="2" t="s">
        <v>3755</v>
      </c>
      <c r="C1717" s="2" t="s">
        <v>28</v>
      </c>
      <c r="D1717" s="2" t="str">
        <f>"9780253004871"</f>
        <v>9780253004871</v>
      </c>
      <c r="E1717" s="2">
        <v>624329</v>
      </c>
    </row>
    <row r="1718" spans="1:5" x14ac:dyDescent="0.25">
      <c r="A1718" s="4">
        <v>41981.643865740742</v>
      </c>
      <c r="B1718" s="2" t="s">
        <v>2471</v>
      </c>
      <c r="C1718" s="2" t="s">
        <v>26</v>
      </c>
      <c r="D1718" s="2" t="str">
        <f>"9781118157527"</f>
        <v>9781118157527</v>
      </c>
      <c r="E1718" s="2">
        <v>832950</v>
      </c>
    </row>
    <row r="1719" spans="1:5" x14ac:dyDescent="0.25">
      <c r="A1719" s="4">
        <v>41975.871770833335</v>
      </c>
      <c r="B1719" s="2" t="s">
        <v>2766</v>
      </c>
      <c r="C1719" s="2" t="s">
        <v>70</v>
      </c>
      <c r="D1719" s="2" t="str">
        <f>"9781627052085"</f>
        <v>9781627052085</v>
      </c>
      <c r="E1719" s="2">
        <v>1585294</v>
      </c>
    </row>
    <row r="1720" spans="1:5" x14ac:dyDescent="0.25">
      <c r="A1720" s="4">
        <v>41994.889849537038</v>
      </c>
      <c r="B1720" s="2" t="s">
        <v>1918</v>
      </c>
      <c r="C1720" s="2" t="s">
        <v>72</v>
      </c>
      <c r="D1720" s="2" t="str">
        <f>"9780748630592"</f>
        <v>9780748630592</v>
      </c>
      <c r="E1720" s="2">
        <v>380399</v>
      </c>
    </row>
    <row r="1721" spans="1:5" x14ac:dyDescent="0.25">
      <c r="A1721" s="4">
        <v>41994.899097222224</v>
      </c>
      <c r="B1721" s="2" t="s">
        <v>1259</v>
      </c>
      <c r="C1721" s="2" t="s">
        <v>63</v>
      </c>
      <c r="D1721" s="2" t="str">
        <f>"9781400839834"</f>
        <v>9781400839834</v>
      </c>
      <c r="E1721" s="2">
        <v>827808</v>
      </c>
    </row>
    <row r="1722" spans="1:5" x14ac:dyDescent="0.25">
      <c r="A1722" s="4">
        <v>43194.613993055558</v>
      </c>
      <c r="B1722" s="2" t="s">
        <v>65</v>
      </c>
      <c r="C1722" s="2" t="s">
        <v>13</v>
      </c>
      <c r="D1722" s="2" t="str">
        <f>"9781615046690"</f>
        <v>9781615046690</v>
      </c>
      <c r="E1722" s="2">
        <v>4931474</v>
      </c>
    </row>
    <row r="1723" spans="1:5" x14ac:dyDescent="0.25">
      <c r="A1723" s="4">
        <v>41994.892928240741</v>
      </c>
      <c r="B1723" s="2" t="s">
        <v>1694</v>
      </c>
      <c r="C1723" s="2" t="s">
        <v>16</v>
      </c>
      <c r="D1723" s="2" t="str">
        <f>"9781462506750"</f>
        <v>9781462506750</v>
      </c>
      <c r="E1723" s="2">
        <v>843851</v>
      </c>
    </row>
    <row r="1724" spans="1:5" x14ac:dyDescent="0.25">
      <c r="A1724" s="4">
        <v>41932.543310185189</v>
      </c>
      <c r="B1724" s="2" t="s">
        <v>3118</v>
      </c>
      <c r="C1724" s="2" t="s">
        <v>18</v>
      </c>
      <c r="D1724" s="2" t="str">
        <f>"9781441139443"</f>
        <v>9781441139443</v>
      </c>
      <c r="E1724" s="2">
        <v>835785</v>
      </c>
    </row>
    <row r="1725" spans="1:5" x14ac:dyDescent="0.25">
      <c r="A1725" s="4">
        <v>41975.476967592593</v>
      </c>
      <c r="B1725" s="2" t="s">
        <v>2843</v>
      </c>
      <c r="C1725" s="2" t="s">
        <v>2404</v>
      </c>
      <c r="D1725" s="2" t="str">
        <f>"9780335241262"</f>
        <v>9780335241262</v>
      </c>
      <c r="E1725" s="2">
        <v>650331</v>
      </c>
    </row>
    <row r="1726" spans="1:5" x14ac:dyDescent="0.25">
      <c r="A1726" s="4">
        <v>41876.789780092593</v>
      </c>
      <c r="B1726" s="2" t="s">
        <v>3935</v>
      </c>
      <c r="C1726" s="2" t="s">
        <v>26</v>
      </c>
      <c r="D1726" s="2" t="str">
        <f>"9781405152303"</f>
        <v>9781405152303</v>
      </c>
      <c r="E1726" s="2">
        <v>243606</v>
      </c>
    </row>
    <row r="1727" spans="1:5" x14ac:dyDescent="0.25">
      <c r="A1727" s="4">
        <v>41974.780763888892</v>
      </c>
      <c r="B1727" s="2" t="s">
        <v>2914</v>
      </c>
      <c r="C1727" s="2" t="s">
        <v>424</v>
      </c>
      <c r="D1727" s="2" t="str">
        <f>"9780807861042"</f>
        <v>9780807861042</v>
      </c>
      <c r="E1727" s="2">
        <v>413449</v>
      </c>
    </row>
    <row r="1728" spans="1:5" x14ac:dyDescent="0.25">
      <c r="A1728" s="4">
        <v>41994.908229166664</v>
      </c>
      <c r="B1728" s="2" t="s">
        <v>228</v>
      </c>
      <c r="C1728" s="2" t="s">
        <v>26</v>
      </c>
      <c r="D1728" s="2" t="str">
        <f>"9781118013274"</f>
        <v>9781118013274</v>
      </c>
      <c r="E1728" s="2">
        <v>699489</v>
      </c>
    </row>
    <row r="1729" spans="1:5" x14ac:dyDescent="0.25">
      <c r="A1729" s="4">
        <v>41974.812905092593</v>
      </c>
      <c r="B1729" s="2" t="s">
        <v>2910</v>
      </c>
      <c r="C1729" s="2" t="s">
        <v>26</v>
      </c>
      <c r="D1729" s="2" t="str">
        <f>"9780470669761"</f>
        <v>9780470669761</v>
      </c>
      <c r="E1729" s="2">
        <v>565152</v>
      </c>
    </row>
    <row r="1730" spans="1:5" x14ac:dyDescent="0.25">
      <c r="A1730" s="4">
        <v>41994.908217592594</v>
      </c>
      <c r="B1730" s="2" t="s">
        <v>244</v>
      </c>
      <c r="C1730" s="2" t="s">
        <v>26</v>
      </c>
      <c r="D1730" s="2" t="str">
        <f>"9780470878781"</f>
        <v>9780470878781</v>
      </c>
      <c r="E1730" s="2">
        <v>697806</v>
      </c>
    </row>
    <row r="1731" spans="1:5" x14ac:dyDescent="0.25">
      <c r="A1731" s="4">
        <v>41975.717037037037</v>
      </c>
      <c r="B1731" s="2" t="s">
        <v>2802</v>
      </c>
      <c r="C1731" s="2" t="s">
        <v>26</v>
      </c>
      <c r="D1731" s="2" t="str">
        <f>"9780470564011"</f>
        <v>9780470564011</v>
      </c>
      <c r="E1731" s="2">
        <v>469368</v>
      </c>
    </row>
    <row r="1732" spans="1:5" x14ac:dyDescent="0.25">
      <c r="A1732" s="4">
        <v>41994.901956018519</v>
      </c>
      <c r="B1732" s="2" t="s">
        <v>849</v>
      </c>
      <c r="C1732" s="2" t="s">
        <v>119</v>
      </c>
      <c r="D1732" s="2" t="str">
        <f>"9780520950153"</f>
        <v>9780520950153</v>
      </c>
      <c r="E1732" s="2">
        <v>740306</v>
      </c>
    </row>
    <row r="1733" spans="1:5" x14ac:dyDescent="0.25">
      <c r="A1733" s="4">
        <v>41994.901932870373</v>
      </c>
      <c r="B1733" s="2" t="s">
        <v>943</v>
      </c>
      <c r="C1733" s="2" t="s">
        <v>119</v>
      </c>
      <c r="D1733" s="2" t="str">
        <f>"9780520909663"</f>
        <v>9780520909663</v>
      </c>
      <c r="E1733" s="2">
        <v>470949</v>
      </c>
    </row>
    <row r="1734" spans="1:5" x14ac:dyDescent="0.25">
      <c r="A1734" s="4">
        <v>41976.017476851855</v>
      </c>
      <c r="B1734" s="2" t="s">
        <v>2734</v>
      </c>
      <c r="C1734" s="2" t="s">
        <v>2170</v>
      </c>
      <c r="D1734" s="2" t="str">
        <f>"9781848131507"</f>
        <v>9781848131507</v>
      </c>
      <c r="E1734" s="2">
        <v>332939</v>
      </c>
    </row>
    <row r="1735" spans="1:5" x14ac:dyDescent="0.25">
      <c r="A1735" s="4">
        <v>41988.445428240739</v>
      </c>
      <c r="B1735" s="2" t="s">
        <v>2289</v>
      </c>
      <c r="C1735" s="2" t="s">
        <v>2170</v>
      </c>
      <c r="D1735" s="2" t="str">
        <f>"9781848132214"</f>
        <v>9781848132214</v>
      </c>
      <c r="E1735" s="2">
        <v>592816</v>
      </c>
    </row>
    <row r="1736" spans="1:5" x14ac:dyDescent="0.25">
      <c r="A1736" s="4">
        <v>41976.747349537036</v>
      </c>
      <c r="B1736" s="2" t="s">
        <v>2639</v>
      </c>
      <c r="C1736" s="2" t="s">
        <v>63</v>
      </c>
      <c r="D1736" s="2" t="str">
        <f>"9781400846238"</f>
        <v>9781400846238</v>
      </c>
      <c r="E1736" s="2">
        <v>1108626</v>
      </c>
    </row>
    <row r="1737" spans="1:5" x14ac:dyDescent="0.25">
      <c r="A1737" s="4">
        <v>41994.885034722225</v>
      </c>
      <c r="B1737" s="2" t="s">
        <v>2000</v>
      </c>
      <c r="C1737" s="2" t="s">
        <v>18</v>
      </c>
      <c r="D1737" s="2" t="str">
        <f>"9781472514523"</f>
        <v>9781472514523</v>
      </c>
      <c r="E1737" s="2">
        <v>1334444</v>
      </c>
    </row>
    <row r="1738" spans="1:5" x14ac:dyDescent="0.25">
      <c r="A1738" s="4">
        <v>41994.89607638889</v>
      </c>
      <c r="B1738" s="2" t="s">
        <v>1621</v>
      </c>
      <c r="C1738" s="2" t="s">
        <v>28</v>
      </c>
      <c r="D1738" s="2" t="str">
        <f>"9780253108531"</f>
        <v>9780253108531</v>
      </c>
      <c r="E1738" s="2">
        <v>127625</v>
      </c>
    </row>
    <row r="1739" spans="1:5" x14ac:dyDescent="0.25">
      <c r="A1739" s="4">
        <v>41929.572893518518</v>
      </c>
      <c r="B1739" s="2" t="s">
        <v>3171</v>
      </c>
      <c r="C1739" s="2" t="s">
        <v>2283</v>
      </c>
      <c r="D1739" s="2" t="str">
        <f>"9789027271594"</f>
        <v>9789027271594</v>
      </c>
      <c r="E1739" s="2">
        <v>1316682</v>
      </c>
    </row>
    <row r="1740" spans="1:5" x14ac:dyDescent="0.25">
      <c r="A1740" s="4">
        <v>41974.900381944448</v>
      </c>
      <c r="B1740" s="2" t="s">
        <v>2896</v>
      </c>
      <c r="C1740" s="2" t="s">
        <v>2741</v>
      </c>
      <c r="D1740" s="2" t="str">
        <f>"9781841121703"</f>
        <v>9781841121703</v>
      </c>
      <c r="E1740" s="2">
        <v>118383</v>
      </c>
    </row>
    <row r="1741" spans="1:5" x14ac:dyDescent="0.25">
      <c r="A1741" s="4">
        <v>41983.38486111111</v>
      </c>
      <c r="B1741" s="2" t="s">
        <v>2414</v>
      </c>
      <c r="C1741" s="2" t="s">
        <v>63</v>
      </c>
      <c r="D1741" s="2" t="str">
        <f>"9781400840991"</f>
        <v>9781400840991</v>
      </c>
      <c r="E1741" s="2">
        <v>768539</v>
      </c>
    </row>
    <row r="1742" spans="1:5" x14ac:dyDescent="0.25">
      <c r="A1742" s="4">
        <v>41975.782002314816</v>
      </c>
      <c r="B1742" s="2" t="s">
        <v>2784</v>
      </c>
      <c r="C1742" s="2" t="s">
        <v>36</v>
      </c>
      <c r="D1742" s="2" t="str">
        <f>"9781476609355"</f>
        <v>9781476609355</v>
      </c>
      <c r="E1742" s="2">
        <v>1784027</v>
      </c>
    </row>
    <row r="1743" spans="1:5" x14ac:dyDescent="0.25">
      <c r="A1743" s="4">
        <v>41982.84747685185</v>
      </c>
      <c r="B1743" s="2" t="s">
        <v>2423</v>
      </c>
      <c r="C1743" s="2" t="s">
        <v>28</v>
      </c>
      <c r="D1743" s="2" t="str">
        <f>"9780253013590"</f>
        <v>9780253013590</v>
      </c>
      <c r="E1743" s="2">
        <v>1402896</v>
      </c>
    </row>
    <row r="1744" spans="1:5" x14ac:dyDescent="0.25">
      <c r="A1744" s="4">
        <v>41910.87327546296</v>
      </c>
      <c r="B1744" s="2" t="s">
        <v>3611</v>
      </c>
      <c r="C1744" s="2" t="s">
        <v>72</v>
      </c>
      <c r="D1744" s="2" t="str">
        <f>"9780748631674"</f>
        <v>9780748631674</v>
      </c>
      <c r="E1744" s="2">
        <v>564515</v>
      </c>
    </row>
    <row r="1745" spans="1:5" x14ac:dyDescent="0.25">
      <c r="A1745" s="4">
        <v>41976.516192129631</v>
      </c>
      <c r="B1745" s="2" t="s">
        <v>2696</v>
      </c>
      <c r="C1745" s="2" t="s">
        <v>96</v>
      </c>
      <c r="D1745" s="2" t="str">
        <f>"9781469615615"</f>
        <v>9781469615615</v>
      </c>
      <c r="E1745" s="2">
        <v>1663550</v>
      </c>
    </row>
    <row r="1746" spans="1:5" x14ac:dyDescent="0.25">
      <c r="A1746" s="4">
        <v>43227.546956018516</v>
      </c>
      <c r="B1746" s="2" t="s">
        <v>35</v>
      </c>
      <c r="C1746" s="2" t="s">
        <v>36</v>
      </c>
      <c r="D1746" s="2" t="str">
        <f>"9781476623252"</f>
        <v>9781476623252</v>
      </c>
      <c r="E1746" s="2">
        <v>4389139</v>
      </c>
    </row>
    <row r="1747" spans="1:5" x14ac:dyDescent="0.25">
      <c r="A1747" s="4">
        <v>41994.901909722219</v>
      </c>
      <c r="B1747" s="2" t="s">
        <v>997</v>
      </c>
      <c r="C1747" s="2" t="s">
        <v>119</v>
      </c>
      <c r="D1747" s="2" t="str">
        <f>"9780520910683"</f>
        <v>9780520910683</v>
      </c>
      <c r="E1747" s="2">
        <v>224463</v>
      </c>
    </row>
    <row r="1748" spans="1:5" x14ac:dyDescent="0.25">
      <c r="A1748" s="4">
        <v>41975.758287037039</v>
      </c>
      <c r="B1748" s="2" t="s">
        <v>2789</v>
      </c>
      <c r="C1748" s="2" t="s">
        <v>119</v>
      </c>
      <c r="D1748" s="2" t="str">
        <f>"9780520943452"</f>
        <v>9780520943452</v>
      </c>
      <c r="E1748" s="2">
        <v>922892</v>
      </c>
    </row>
    <row r="1749" spans="1:5" x14ac:dyDescent="0.25">
      <c r="A1749" s="4">
        <v>41994.902013888888</v>
      </c>
      <c r="B1749" s="2" t="s">
        <v>650</v>
      </c>
      <c r="C1749" s="2" t="s">
        <v>119</v>
      </c>
      <c r="D1749" s="2" t="str">
        <f>"9780520959224"</f>
        <v>9780520959224</v>
      </c>
      <c r="E1749" s="2">
        <v>1710997</v>
      </c>
    </row>
    <row r="1750" spans="1:5" x14ac:dyDescent="0.25">
      <c r="A1750" s="4">
        <v>41994.901979166665</v>
      </c>
      <c r="B1750" s="2" t="s">
        <v>797</v>
      </c>
      <c r="C1750" s="2" t="s">
        <v>119</v>
      </c>
      <c r="D1750" s="2" t="str">
        <f>"9780520933880"</f>
        <v>9780520933880</v>
      </c>
      <c r="E1750" s="2">
        <v>860286</v>
      </c>
    </row>
    <row r="1751" spans="1:5" x14ac:dyDescent="0.25">
      <c r="A1751" s="4">
        <v>41974.749976851854</v>
      </c>
      <c r="B1751" s="2" t="s">
        <v>2921</v>
      </c>
      <c r="C1751" s="2" t="s">
        <v>1934</v>
      </c>
      <c r="D1751" s="2" t="str">
        <f>"9781623563608"</f>
        <v>9781623563608</v>
      </c>
      <c r="E1751" s="2">
        <v>1664072</v>
      </c>
    </row>
    <row r="1752" spans="1:5" x14ac:dyDescent="0.25">
      <c r="A1752" s="4">
        <v>41994.901979166665</v>
      </c>
      <c r="B1752" s="2" t="s">
        <v>789</v>
      </c>
      <c r="C1752" s="2" t="s">
        <v>119</v>
      </c>
      <c r="D1752" s="2" t="str">
        <f>"9780520952287"</f>
        <v>9780520952287</v>
      </c>
      <c r="E1752" s="2">
        <v>870022</v>
      </c>
    </row>
    <row r="1753" spans="1:5" x14ac:dyDescent="0.25">
      <c r="A1753" s="4">
        <v>42879.433171296296</v>
      </c>
      <c r="B1753" s="2" t="s">
        <v>140</v>
      </c>
      <c r="C1753" s="2" t="s">
        <v>36</v>
      </c>
      <c r="D1753" s="2" t="str">
        <f>"9781476627175"</f>
        <v>9781476627175</v>
      </c>
      <c r="E1753" s="2">
        <v>4790592</v>
      </c>
    </row>
    <row r="1754" spans="1:5" x14ac:dyDescent="0.25">
      <c r="A1754" s="4">
        <v>41920.456087962964</v>
      </c>
      <c r="B1754" s="2" t="s">
        <v>3377</v>
      </c>
      <c r="C1754" s="2" t="s">
        <v>18</v>
      </c>
      <c r="D1754" s="2" t="str">
        <f>"9781441152978"</f>
        <v>9781441152978</v>
      </c>
      <c r="E1754" s="2">
        <v>866348</v>
      </c>
    </row>
    <row r="1755" spans="1:5" x14ac:dyDescent="0.25">
      <c r="A1755" s="4">
        <v>41994.905624999999</v>
      </c>
      <c r="B1755" s="2" t="s">
        <v>475</v>
      </c>
      <c r="C1755" s="2" t="s">
        <v>96</v>
      </c>
      <c r="D1755" s="2" t="str">
        <f>"9781469602141"</f>
        <v>9781469602141</v>
      </c>
      <c r="E1755" s="2">
        <v>1120531</v>
      </c>
    </row>
    <row r="1756" spans="1:5" x14ac:dyDescent="0.25">
      <c r="A1756" s="4">
        <v>41974.689780092594</v>
      </c>
      <c r="B1756" s="2" t="s">
        <v>2930</v>
      </c>
      <c r="C1756" s="2" t="s">
        <v>72</v>
      </c>
      <c r="D1756" s="2" t="str">
        <f>"9780748639465"</f>
        <v>9780748639465</v>
      </c>
      <c r="E1756" s="2">
        <v>420685</v>
      </c>
    </row>
    <row r="1757" spans="1:5" x14ac:dyDescent="0.25">
      <c r="A1757" s="4">
        <v>41920.501956018517</v>
      </c>
      <c r="B1757" s="2" t="s">
        <v>3372</v>
      </c>
      <c r="C1757" s="2" t="s">
        <v>18</v>
      </c>
      <c r="D1757" s="2" t="str">
        <f>"9780567453365"</f>
        <v>9780567453365</v>
      </c>
      <c r="E1757" s="2">
        <v>436635</v>
      </c>
    </row>
    <row r="1758" spans="1:5" x14ac:dyDescent="0.25">
      <c r="A1758" s="4">
        <v>41907.720625000002</v>
      </c>
      <c r="B1758" s="2" t="s">
        <v>3670</v>
      </c>
      <c r="C1758" s="2" t="s">
        <v>63</v>
      </c>
      <c r="D1758" s="2" t="str">
        <f>"9781400846252"</f>
        <v>9781400846252</v>
      </c>
      <c r="E1758" s="2">
        <v>1114884</v>
      </c>
    </row>
    <row r="1759" spans="1:5" x14ac:dyDescent="0.25">
      <c r="A1759" s="4">
        <v>41994.896134259259</v>
      </c>
      <c r="B1759" s="2" t="s">
        <v>1543</v>
      </c>
      <c r="C1759" s="2" t="s">
        <v>28</v>
      </c>
      <c r="D1759" s="2" t="str">
        <f>"9780253000873"</f>
        <v>9780253000873</v>
      </c>
      <c r="E1759" s="2">
        <v>713662</v>
      </c>
    </row>
    <row r="1760" spans="1:5" x14ac:dyDescent="0.25">
      <c r="A1760" s="4">
        <v>41994.901921296296</v>
      </c>
      <c r="B1760" s="2" t="s">
        <v>966</v>
      </c>
      <c r="C1760" s="2" t="s">
        <v>119</v>
      </c>
      <c r="D1760" s="2" t="str">
        <f>"9780520939172"</f>
        <v>9780520939172</v>
      </c>
      <c r="E1760" s="2">
        <v>254882</v>
      </c>
    </row>
    <row r="1761" spans="1:5" x14ac:dyDescent="0.25">
      <c r="A1761" s="4">
        <v>41893.571979166663</v>
      </c>
      <c r="B1761" s="2" t="s">
        <v>3882</v>
      </c>
      <c r="C1761" s="2" t="s">
        <v>18</v>
      </c>
      <c r="D1761" s="2" t="str">
        <f>"9781441119469"</f>
        <v>9781441119469</v>
      </c>
      <c r="E1761" s="2">
        <v>1080367</v>
      </c>
    </row>
    <row r="1762" spans="1:5" x14ac:dyDescent="0.25">
      <c r="A1762" s="4">
        <v>41994.899062500001</v>
      </c>
      <c r="B1762" s="2" t="s">
        <v>1380</v>
      </c>
      <c r="C1762" s="2" t="s">
        <v>63</v>
      </c>
      <c r="D1762" s="2" t="str">
        <f>"9781400835096"</f>
        <v>9781400835096</v>
      </c>
      <c r="E1762" s="2">
        <v>537646</v>
      </c>
    </row>
    <row r="1763" spans="1:5" x14ac:dyDescent="0.25">
      <c r="A1763" s="4">
        <v>41899.844166666669</v>
      </c>
      <c r="B1763" s="2" t="s">
        <v>3847</v>
      </c>
      <c r="C1763" s="2" t="s">
        <v>119</v>
      </c>
      <c r="D1763" s="2" t="str">
        <f>"9780520926967"</f>
        <v>9780520926967</v>
      </c>
      <c r="E1763" s="2">
        <v>223039</v>
      </c>
    </row>
    <row r="1764" spans="1:5" x14ac:dyDescent="0.25">
      <c r="A1764" s="4">
        <v>41976.556122685186</v>
      </c>
      <c r="B1764" s="2" t="s">
        <v>2685</v>
      </c>
      <c r="C1764" s="2" t="s">
        <v>119</v>
      </c>
      <c r="D1764" s="2" t="str">
        <f>"9780520947399"</f>
        <v>9780520947399</v>
      </c>
      <c r="E1764" s="2">
        <v>570668</v>
      </c>
    </row>
    <row r="1765" spans="1:5" x14ac:dyDescent="0.25">
      <c r="A1765" s="4">
        <v>41974.801041666666</v>
      </c>
      <c r="B1765" s="2" t="s">
        <v>2911</v>
      </c>
      <c r="C1765" s="2" t="s">
        <v>119</v>
      </c>
      <c r="D1765" s="2" t="str">
        <f>"9780520951358"</f>
        <v>9780520951358</v>
      </c>
      <c r="E1765" s="2">
        <v>919525</v>
      </c>
    </row>
    <row r="1766" spans="1:5" x14ac:dyDescent="0.25">
      <c r="A1766" s="4">
        <v>41994.905613425923</v>
      </c>
      <c r="B1766" s="2" t="s">
        <v>500</v>
      </c>
      <c r="C1766" s="2" t="s">
        <v>424</v>
      </c>
      <c r="D1766" s="2" t="str">
        <f>"9780807838143"</f>
        <v>9780807838143</v>
      </c>
      <c r="E1766" s="2">
        <v>987052</v>
      </c>
    </row>
    <row r="1767" spans="1:5" x14ac:dyDescent="0.25">
      <c r="A1767" s="4">
        <v>41975.866157407407</v>
      </c>
      <c r="B1767" s="2" t="s">
        <v>2768</v>
      </c>
      <c r="C1767" s="2" t="s">
        <v>18</v>
      </c>
      <c r="D1767" s="2" t="str">
        <f>"9781441136961"</f>
        <v>9781441136961</v>
      </c>
      <c r="E1767" s="2">
        <v>1729574</v>
      </c>
    </row>
    <row r="1768" spans="1:5" x14ac:dyDescent="0.25">
      <c r="A1768" s="4">
        <v>41994.899085648147</v>
      </c>
      <c r="B1768" s="2" t="s">
        <v>1295</v>
      </c>
      <c r="C1768" s="2" t="s">
        <v>63</v>
      </c>
      <c r="D1768" s="2" t="str">
        <f>"9781400840205"</f>
        <v>9781400840205</v>
      </c>
      <c r="E1768" s="2">
        <v>726053</v>
      </c>
    </row>
    <row r="1769" spans="1:5" x14ac:dyDescent="0.25">
      <c r="A1769" s="4">
        <v>41918.92931712963</v>
      </c>
      <c r="B1769" s="2" t="s">
        <v>3411</v>
      </c>
      <c r="C1769" s="2" t="s">
        <v>1934</v>
      </c>
      <c r="D1769" s="2" t="str">
        <f>"9781441174567"</f>
        <v>9781441174567</v>
      </c>
      <c r="E1769" s="2">
        <v>821584</v>
      </c>
    </row>
    <row r="1770" spans="1:5" x14ac:dyDescent="0.25">
      <c r="A1770" s="4">
        <v>41994.896145833336</v>
      </c>
      <c r="B1770" s="2" t="s">
        <v>1494</v>
      </c>
      <c r="C1770" s="2" t="s">
        <v>28</v>
      </c>
      <c r="D1770" s="2" t="str">
        <f>"9780253007698"</f>
        <v>9780253007698</v>
      </c>
      <c r="E1770" s="2">
        <v>1078452</v>
      </c>
    </row>
    <row r="1771" spans="1:5" x14ac:dyDescent="0.25">
      <c r="A1771" s="4">
        <v>41994.896134259259</v>
      </c>
      <c r="B1771" s="2" t="s">
        <v>1529</v>
      </c>
      <c r="C1771" s="2" t="s">
        <v>28</v>
      </c>
      <c r="D1771" s="2" t="str">
        <f>"9780253001467"</f>
        <v>9780253001467</v>
      </c>
      <c r="E1771" s="2">
        <v>731391</v>
      </c>
    </row>
    <row r="1772" spans="1:5" x14ac:dyDescent="0.25">
      <c r="A1772" s="4">
        <v>41983.759155092594</v>
      </c>
      <c r="B1772" s="2" t="s">
        <v>2396</v>
      </c>
      <c r="C1772" s="2" t="s">
        <v>2397</v>
      </c>
      <c r="D1772" s="2" t="str">
        <f>"9780786484928"</f>
        <v>9780786484928</v>
      </c>
      <c r="E1772" s="2">
        <v>679309</v>
      </c>
    </row>
    <row r="1773" spans="1:5" x14ac:dyDescent="0.25">
      <c r="A1773" s="4">
        <v>41994.899155092593</v>
      </c>
      <c r="B1773" s="2" t="s">
        <v>1069</v>
      </c>
      <c r="C1773" s="2" t="s">
        <v>63</v>
      </c>
      <c r="D1773" s="2" t="str">
        <f>"9781400832743"</f>
        <v>9781400832743</v>
      </c>
      <c r="E1773" s="2">
        <v>1691725</v>
      </c>
    </row>
    <row r="1774" spans="1:5" x14ac:dyDescent="0.25">
      <c r="A1774" s="4">
        <v>41980.700324074074</v>
      </c>
      <c r="B1774" s="2" t="s">
        <v>2505</v>
      </c>
      <c r="C1774" s="2" t="s">
        <v>63</v>
      </c>
      <c r="D1774" s="2" t="str">
        <f>"9781400842216"</f>
        <v>9781400842216</v>
      </c>
      <c r="E1774" s="2">
        <v>859032</v>
      </c>
    </row>
    <row r="1775" spans="1:5" x14ac:dyDescent="0.25">
      <c r="A1775" s="4">
        <v>41994.905624999999</v>
      </c>
      <c r="B1775" s="2" t="s">
        <v>447</v>
      </c>
      <c r="C1775" s="2" t="s">
        <v>96</v>
      </c>
      <c r="D1775" s="2" t="str">
        <f>"9781469612546"</f>
        <v>9781469612546</v>
      </c>
      <c r="E1775" s="2">
        <v>1663517</v>
      </c>
    </row>
    <row r="1776" spans="1:5" x14ac:dyDescent="0.25">
      <c r="A1776" s="4">
        <v>41915.850162037037</v>
      </c>
      <c r="B1776" s="2" t="s">
        <v>3485</v>
      </c>
      <c r="C1776" s="2" t="s">
        <v>7</v>
      </c>
      <c r="D1776" s="2" t="str">
        <f>"9781452264684"</f>
        <v>9781452264684</v>
      </c>
      <c r="E1776" s="2">
        <v>996824</v>
      </c>
    </row>
    <row r="1777" spans="1:5" x14ac:dyDescent="0.25">
      <c r="A1777" s="4">
        <v>41984.607094907406</v>
      </c>
      <c r="B1777" s="2" t="s">
        <v>2363</v>
      </c>
      <c r="C1777" s="2" t="s">
        <v>36</v>
      </c>
      <c r="D1777" s="2" t="str">
        <f>"9781476605654"</f>
        <v>9781476605654</v>
      </c>
      <c r="E1777" s="2">
        <v>1336661</v>
      </c>
    </row>
    <row r="1778" spans="1:5" x14ac:dyDescent="0.25">
      <c r="A1778" s="4">
        <v>41976.819016203706</v>
      </c>
      <c r="B1778" s="2" t="s">
        <v>2633</v>
      </c>
      <c r="C1778" s="2" t="s">
        <v>26</v>
      </c>
      <c r="D1778" s="2" t="str">
        <f>"9781119993117"</f>
        <v>9781119993117</v>
      </c>
      <c r="E1778" s="2">
        <v>699351</v>
      </c>
    </row>
    <row r="1779" spans="1:5" x14ac:dyDescent="0.25">
      <c r="A1779" s="4">
        <v>41979.581018518518</v>
      </c>
      <c r="B1779" s="2" t="s">
        <v>2539</v>
      </c>
      <c r="C1779" s="2" t="s">
        <v>18</v>
      </c>
      <c r="D1779" s="2" t="str">
        <f>"9781623562342"</f>
        <v>9781623562342</v>
      </c>
      <c r="E1779" s="2">
        <v>1507630</v>
      </c>
    </row>
    <row r="1780" spans="1:5" x14ac:dyDescent="0.25">
      <c r="A1780" s="4">
        <v>41994.889884259261</v>
      </c>
      <c r="B1780" s="2" t="s">
        <v>1869</v>
      </c>
      <c r="C1780" s="2" t="s">
        <v>72</v>
      </c>
      <c r="D1780" s="2" t="str">
        <f>"9780748646098"</f>
        <v>9780748646098</v>
      </c>
      <c r="E1780" s="2">
        <v>714144</v>
      </c>
    </row>
    <row r="1781" spans="1:5" x14ac:dyDescent="0.25">
      <c r="A1781" s="4">
        <v>41994.905601851853</v>
      </c>
      <c r="B1781" s="2" t="s">
        <v>544</v>
      </c>
      <c r="C1781" s="2" t="s">
        <v>96</v>
      </c>
      <c r="D1781" s="2" t="str">
        <f>"9780807882726"</f>
        <v>9780807882726</v>
      </c>
      <c r="E1781" s="2">
        <v>834231</v>
      </c>
    </row>
    <row r="1782" spans="1:5" x14ac:dyDescent="0.25">
      <c r="A1782" s="4">
        <v>41994.889872685184</v>
      </c>
      <c r="B1782" s="2" t="s">
        <v>1881</v>
      </c>
      <c r="C1782" s="2" t="s">
        <v>72</v>
      </c>
      <c r="D1782" s="2" t="str">
        <f>"9780748634668"</f>
        <v>9780748634668</v>
      </c>
      <c r="E1782" s="2">
        <v>624261</v>
      </c>
    </row>
    <row r="1783" spans="1:5" x14ac:dyDescent="0.25">
      <c r="A1783" s="4">
        <v>41891.366759259261</v>
      </c>
      <c r="B1783" s="2" t="s">
        <v>3893</v>
      </c>
      <c r="C1783" s="2" t="s">
        <v>18</v>
      </c>
      <c r="D1783" s="2" t="str">
        <f>"9780567071958"</f>
        <v>9780567071958</v>
      </c>
      <c r="E1783" s="2">
        <v>1589517</v>
      </c>
    </row>
    <row r="1784" spans="1:5" x14ac:dyDescent="0.25">
      <c r="A1784" s="4">
        <v>41994.90556712963</v>
      </c>
      <c r="B1784" s="2" t="s">
        <v>628</v>
      </c>
      <c r="C1784" s="2" t="s">
        <v>96</v>
      </c>
      <c r="D1784" s="2" t="str">
        <f>"9780807877609"</f>
        <v>9780807877609</v>
      </c>
      <c r="E1784" s="2">
        <v>361347</v>
      </c>
    </row>
    <row r="1785" spans="1:5" x14ac:dyDescent="0.25">
      <c r="A1785" s="4">
        <v>41994.896134259259</v>
      </c>
      <c r="B1785" s="2" t="s">
        <v>1533</v>
      </c>
      <c r="C1785" s="2" t="s">
        <v>28</v>
      </c>
      <c r="D1785" s="2" t="str">
        <f>"9780253001726"</f>
        <v>9780253001726</v>
      </c>
      <c r="E1785" s="2">
        <v>713703</v>
      </c>
    </row>
    <row r="1786" spans="1:5" x14ac:dyDescent="0.25">
      <c r="A1786" s="4">
        <v>41994.885057870371</v>
      </c>
      <c r="B1786" s="2" t="s">
        <v>1941</v>
      </c>
      <c r="C1786" s="2" t="s">
        <v>18</v>
      </c>
      <c r="D1786" s="2" t="str">
        <f>"9781441194404"</f>
        <v>9781441194404</v>
      </c>
      <c r="E1786" s="2">
        <v>1744021</v>
      </c>
    </row>
    <row r="1787" spans="1:5" x14ac:dyDescent="0.25">
      <c r="A1787" s="4">
        <v>41994.884988425925</v>
      </c>
      <c r="B1787" s="2" t="s">
        <v>2118</v>
      </c>
      <c r="C1787" s="2" t="s">
        <v>18</v>
      </c>
      <c r="D1787" s="2" t="str">
        <f>"9781441179579"</f>
        <v>9781441179579</v>
      </c>
      <c r="E1787" s="2">
        <v>601947</v>
      </c>
    </row>
    <row r="1788" spans="1:5" x14ac:dyDescent="0.25">
      <c r="A1788" s="4">
        <v>41994.899097222224</v>
      </c>
      <c r="B1788" s="2" t="s">
        <v>1258</v>
      </c>
      <c r="C1788" s="2" t="s">
        <v>63</v>
      </c>
      <c r="D1788" s="2" t="str">
        <f>"9781400839841"</f>
        <v>9781400839841</v>
      </c>
      <c r="E1788" s="2">
        <v>827809</v>
      </c>
    </row>
    <row r="1789" spans="1:5" x14ac:dyDescent="0.25">
      <c r="A1789" s="4">
        <v>41918.790289351855</v>
      </c>
      <c r="B1789" s="2" t="s">
        <v>3417</v>
      </c>
      <c r="C1789" s="2" t="s">
        <v>26</v>
      </c>
      <c r="D1789" s="2" t="str">
        <f>"9781444344400"</f>
        <v>9781444344400</v>
      </c>
      <c r="E1789" s="2">
        <v>819315</v>
      </c>
    </row>
    <row r="1790" spans="1:5" x14ac:dyDescent="0.25">
      <c r="A1790" s="4">
        <v>41903.408645833333</v>
      </c>
      <c r="B1790" s="2" t="s">
        <v>3798</v>
      </c>
      <c r="C1790" s="2" t="s">
        <v>7</v>
      </c>
      <c r="D1790" s="2" t="str">
        <f>"9781452266466"</f>
        <v>9781452266466</v>
      </c>
      <c r="E1790" s="2">
        <v>996892</v>
      </c>
    </row>
    <row r="1791" spans="1:5" x14ac:dyDescent="0.25">
      <c r="A1791" s="4">
        <v>41994.908194444448</v>
      </c>
      <c r="B1791" s="2" t="s">
        <v>315</v>
      </c>
      <c r="C1791" s="2" t="s">
        <v>26</v>
      </c>
      <c r="D1791" s="2" t="str">
        <f>"9780470646939"</f>
        <v>9780470646939</v>
      </c>
      <c r="E1791" s="2">
        <v>588833</v>
      </c>
    </row>
    <row r="1792" spans="1:5" x14ac:dyDescent="0.25">
      <c r="A1792" s="4">
        <v>41920.406493055554</v>
      </c>
      <c r="B1792" s="2" t="s">
        <v>3379</v>
      </c>
      <c r="C1792" s="2" t="s">
        <v>160</v>
      </c>
      <c r="D1792" s="2" t="str">
        <f>"9781118114124"</f>
        <v>9781118114124</v>
      </c>
      <c r="E1792" s="2">
        <v>818758</v>
      </c>
    </row>
    <row r="1793" spans="1:5" x14ac:dyDescent="0.25">
      <c r="A1793" s="4">
        <v>41994.884988425925</v>
      </c>
      <c r="B1793" s="2" t="s">
        <v>2136</v>
      </c>
      <c r="C1793" s="2" t="s">
        <v>18</v>
      </c>
      <c r="D1793" s="2" t="str">
        <f>"9780567603746"</f>
        <v>9780567603746</v>
      </c>
      <c r="E1793" s="2">
        <v>601511</v>
      </c>
    </row>
    <row r="1794" spans="1:5" x14ac:dyDescent="0.25">
      <c r="A1794" s="4">
        <v>41994.884988425925</v>
      </c>
      <c r="B1794" s="2" t="s">
        <v>2126</v>
      </c>
      <c r="C1794" s="2" t="s">
        <v>18</v>
      </c>
      <c r="D1794" s="2" t="str">
        <f>"9781441147257"</f>
        <v>9781441147257</v>
      </c>
      <c r="E1794" s="2">
        <v>601781</v>
      </c>
    </row>
    <row r="1795" spans="1:5" x14ac:dyDescent="0.25">
      <c r="A1795" s="4">
        <v>41927.610590277778</v>
      </c>
      <c r="B1795" s="2" t="s">
        <v>3215</v>
      </c>
      <c r="C1795" s="2" t="s">
        <v>74</v>
      </c>
      <c r="D1795" s="2" t="str">
        <f>"9781623569297"</f>
        <v>9781623569297</v>
      </c>
      <c r="E1795" s="2">
        <v>1609924</v>
      </c>
    </row>
    <row r="1796" spans="1:5" x14ac:dyDescent="0.25">
      <c r="A1796" s="4">
        <v>41994.885057870371</v>
      </c>
      <c r="B1796" s="2" t="s">
        <v>1948</v>
      </c>
      <c r="C1796" s="2" t="s">
        <v>1934</v>
      </c>
      <c r="D1796" s="2" t="str">
        <f>"9781623564582"</f>
        <v>9781623564582</v>
      </c>
      <c r="E1796" s="2">
        <v>1688465</v>
      </c>
    </row>
    <row r="1797" spans="1:5" x14ac:dyDescent="0.25">
      <c r="A1797" s="4">
        <v>41994.899131944447</v>
      </c>
      <c r="B1797" s="2" t="s">
        <v>1138</v>
      </c>
      <c r="C1797" s="2" t="s">
        <v>63</v>
      </c>
      <c r="D1797" s="2" t="str">
        <f>"9781400848119"</f>
        <v>9781400848119</v>
      </c>
      <c r="E1797" s="2">
        <v>1341187</v>
      </c>
    </row>
    <row r="1798" spans="1:5" x14ac:dyDescent="0.25">
      <c r="A1798" s="4">
        <v>41974.718425925923</v>
      </c>
      <c r="B1798" s="2" t="s">
        <v>2924</v>
      </c>
      <c r="C1798" s="2" t="s">
        <v>18</v>
      </c>
      <c r="D1798" s="2" t="str">
        <f>"9781847885425"</f>
        <v>9781847885425</v>
      </c>
      <c r="E1798" s="2">
        <v>533068</v>
      </c>
    </row>
    <row r="1799" spans="1:5" x14ac:dyDescent="0.25">
      <c r="A1799" s="4">
        <v>43187.532534722224</v>
      </c>
      <c r="B1799" s="2" t="s">
        <v>71</v>
      </c>
      <c r="C1799" s="2" t="s">
        <v>72</v>
      </c>
      <c r="D1799" s="2" t="str">
        <f>"9781474417556"</f>
        <v>9781474417556</v>
      </c>
      <c r="E1799" s="2">
        <v>5012424</v>
      </c>
    </row>
    <row r="1800" spans="1:5" x14ac:dyDescent="0.25">
      <c r="A1800" s="4">
        <v>41977.426828703705</v>
      </c>
      <c r="B1800" s="2" t="s">
        <v>2614</v>
      </c>
      <c r="C1800" s="2" t="s">
        <v>26</v>
      </c>
      <c r="D1800" s="2" t="str">
        <f>"9780470498491"</f>
        <v>9780470498491</v>
      </c>
      <c r="E1800" s="2">
        <v>433751</v>
      </c>
    </row>
    <row r="1801" spans="1:5" x14ac:dyDescent="0.25">
      <c r="A1801" s="4">
        <v>41994.885034722225</v>
      </c>
      <c r="B1801" s="2" t="s">
        <v>2010</v>
      </c>
      <c r="C1801" s="2" t="s">
        <v>18</v>
      </c>
      <c r="D1801" s="2" t="str">
        <f>"9781441191564"</f>
        <v>9781441191564</v>
      </c>
      <c r="E1801" s="2">
        <v>1274353</v>
      </c>
    </row>
    <row r="1802" spans="1:5" x14ac:dyDescent="0.25">
      <c r="A1802" s="4">
        <v>41915.717800925922</v>
      </c>
      <c r="B1802" s="2" t="s">
        <v>3490</v>
      </c>
      <c r="C1802" s="2" t="s">
        <v>1934</v>
      </c>
      <c r="D1802" s="2" t="str">
        <f>"9780857853660"</f>
        <v>9780857853660</v>
      </c>
      <c r="E1802" s="2">
        <v>1718194</v>
      </c>
    </row>
    <row r="1803" spans="1:5" x14ac:dyDescent="0.25">
      <c r="A1803" s="4">
        <v>41974.512777777774</v>
      </c>
      <c r="B1803" s="2" t="s">
        <v>2970</v>
      </c>
      <c r="C1803" s="2" t="s">
        <v>7</v>
      </c>
      <c r="D1803" s="2" t="str">
        <f>"9781446268889"</f>
        <v>9781446268889</v>
      </c>
      <c r="E1803" s="2">
        <v>1110120</v>
      </c>
    </row>
    <row r="1804" spans="1:5" x14ac:dyDescent="0.25">
      <c r="A1804" s="4">
        <v>41906.990381944444</v>
      </c>
      <c r="B1804" s="2" t="s">
        <v>3694</v>
      </c>
      <c r="C1804" s="2" t="s">
        <v>7</v>
      </c>
      <c r="D1804" s="2" t="str">
        <f>"9781446248225"</f>
        <v>9781446248225</v>
      </c>
      <c r="E1804" s="2">
        <v>743688</v>
      </c>
    </row>
    <row r="1805" spans="1:5" x14ac:dyDescent="0.25">
      <c r="A1805" s="4">
        <v>41923.515763888892</v>
      </c>
      <c r="B1805" s="2" t="s">
        <v>3307</v>
      </c>
      <c r="C1805" s="2" t="s">
        <v>7</v>
      </c>
      <c r="D1805" s="2" t="str">
        <f>"9781446247952"</f>
        <v>9781446247952</v>
      </c>
      <c r="E1805" s="2">
        <v>743680</v>
      </c>
    </row>
    <row r="1806" spans="1:5" x14ac:dyDescent="0.25">
      <c r="A1806" s="4">
        <v>41994.885000000002</v>
      </c>
      <c r="B1806" s="2" t="s">
        <v>2088</v>
      </c>
      <c r="C1806" s="2" t="s">
        <v>18</v>
      </c>
      <c r="D1806" s="2" t="str">
        <f>"9781441169686"</f>
        <v>9781441169686</v>
      </c>
      <c r="E1806" s="2">
        <v>742610</v>
      </c>
    </row>
    <row r="1807" spans="1:5" x14ac:dyDescent="0.25">
      <c r="A1807" s="4">
        <v>41910.5622337963</v>
      </c>
      <c r="B1807" s="2" t="s">
        <v>3621</v>
      </c>
      <c r="C1807" s="2" t="s">
        <v>7</v>
      </c>
      <c r="D1807" s="2" t="str">
        <f>"9781446202272"</f>
        <v>9781446202272</v>
      </c>
      <c r="E1807" s="2">
        <v>635481</v>
      </c>
    </row>
    <row r="1808" spans="1:5" x14ac:dyDescent="0.25">
      <c r="A1808" s="4">
        <v>41974.99355324074</v>
      </c>
      <c r="B1808" s="2" t="s">
        <v>2881</v>
      </c>
      <c r="C1808" s="2" t="s">
        <v>2283</v>
      </c>
      <c r="D1808" s="2" t="str">
        <f>"9789027274960"</f>
        <v>9789027274960</v>
      </c>
      <c r="E1808" s="2">
        <v>837579</v>
      </c>
    </row>
    <row r="1809" spans="1:5" x14ac:dyDescent="0.25">
      <c r="A1809" s="4">
        <v>41994.885011574072</v>
      </c>
      <c r="B1809" s="2" t="s">
        <v>2059</v>
      </c>
      <c r="C1809" s="2" t="s">
        <v>18</v>
      </c>
      <c r="D1809" s="2" t="str">
        <f>"9781441115737"</f>
        <v>9781441115737</v>
      </c>
      <c r="E1809" s="2">
        <v>894579</v>
      </c>
    </row>
    <row r="1810" spans="1:5" x14ac:dyDescent="0.25">
      <c r="A1810" s="4">
        <v>41976.020856481482</v>
      </c>
      <c r="B1810" s="2" t="s">
        <v>2733</v>
      </c>
      <c r="C1810" s="2" t="s">
        <v>18</v>
      </c>
      <c r="D1810" s="2" t="str">
        <f>"9781441152428"</f>
        <v>9781441152428</v>
      </c>
      <c r="E1810" s="2">
        <v>592470</v>
      </c>
    </row>
    <row r="1811" spans="1:5" x14ac:dyDescent="0.25">
      <c r="A1811" s="4">
        <v>41994.884988425925</v>
      </c>
      <c r="B1811" s="2" t="s">
        <v>2135</v>
      </c>
      <c r="C1811" s="2" t="s">
        <v>18</v>
      </c>
      <c r="D1811" s="2" t="str">
        <f>"9781441113207"</f>
        <v>9781441113207</v>
      </c>
      <c r="E1811" s="2">
        <v>601512</v>
      </c>
    </row>
    <row r="1812" spans="1:5" x14ac:dyDescent="0.25">
      <c r="A1812" s="4">
        <v>41994.89912037037</v>
      </c>
      <c r="B1812" s="2" t="s">
        <v>1167</v>
      </c>
      <c r="C1812" s="2" t="s">
        <v>63</v>
      </c>
      <c r="D1812" s="2" t="str">
        <f>"9781400846269"</f>
        <v>9781400846269</v>
      </c>
      <c r="E1812" s="2">
        <v>1160066</v>
      </c>
    </row>
    <row r="1813" spans="1:5" x14ac:dyDescent="0.25">
      <c r="A1813" s="4">
        <v>41994.908182870371</v>
      </c>
      <c r="B1813" s="2" t="s">
        <v>354</v>
      </c>
      <c r="C1813" s="2" t="s">
        <v>26</v>
      </c>
      <c r="D1813" s="2" t="str">
        <f>"9781444304664"</f>
        <v>9781444304664</v>
      </c>
      <c r="E1813" s="2">
        <v>437502</v>
      </c>
    </row>
    <row r="1814" spans="1:5" x14ac:dyDescent="0.25">
      <c r="A1814" s="4">
        <v>41976.686909722222</v>
      </c>
      <c r="B1814" s="2" t="s">
        <v>2649</v>
      </c>
      <c r="C1814" s="2" t="s">
        <v>28</v>
      </c>
      <c r="D1814" s="2" t="str">
        <f>"9780253003591"</f>
        <v>9780253003591</v>
      </c>
      <c r="E1814" s="2">
        <v>485244</v>
      </c>
    </row>
    <row r="1815" spans="1:5" x14ac:dyDescent="0.25">
      <c r="A1815" s="4">
        <v>41994.896122685182</v>
      </c>
      <c r="B1815" s="2" t="s">
        <v>1564</v>
      </c>
      <c r="C1815" s="2" t="s">
        <v>28</v>
      </c>
      <c r="D1815" s="2" t="str">
        <f>"9780253005113"</f>
        <v>9780253005113</v>
      </c>
      <c r="E1815" s="2">
        <v>670269</v>
      </c>
    </row>
    <row r="1816" spans="1:5" x14ac:dyDescent="0.25">
      <c r="A1816" s="4">
        <v>41994.899131944447</v>
      </c>
      <c r="B1816" s="2" t="s">
        <v>1129</v>
      </c>
      <c r="C1816" s="2" t="s">
        <v>63</v>
      </c>
      <c r="D1816" s="2" t="str">
        <f>"9781400848218"</f>
        <v>9781400848218</v>
      </c>
      <c r="E1816" s="2">
        <v>1458113</v>
      </c>
    </row>
    <row r="1817" spans="1:5" x14ac:dyDescent="0.25">
      <c r="A1817" s="4">
        <v>41994.902002314811</v>
      </c>
      <c r="B1817" s="2" t="s">
        <v>715</v>
      </c>
      <c r="C1817" s="2" t="s">
        <v>119</v>
      </c>
      <c r="D1817" s="2" t="str">
        <f>"9780520954496"</f>
        <v>9780520954496</v>
      </c>
      <c r="E1817" s="2">
        <v>1157661</v>
      </c>
    </row>
    <row r="1818" spans="1:5" x14ac:dyDescent="0.25">
      <c r="A1818" s="4">
        <v>41994.90824074074</v>
      </c>
      <c r="B1818" s="2" t="s">
        <v>193</v>
      </c>
      <c r="C1818" s="2" t="s">
        <v>26</v>
      </c>
      <c r="D1818" s="2" t="str">
        <f>"9781118153796"</f>
        <v>9781118153796</v>
      </c>
      <c r="E1818" s="2">
        <v>818484</v>
      </c>
    </row>
    <row r="1819" spans="1:5" x14ac:dyDescent="0.25">
      <c r="A1819" s="4">
        <v>41994.889918981484</v>
      </c>
      <c r="B1819" s="2" t="s">
        <v>1835</v>
      </c>
      <c r="C1819" s="2" t="s">
        <v>72</v>
      </c>
      <c r="D1819" s="2" t="str">
        <f>"9780748677108"</f>
        <v>9780748677108</v>
      </c>
      <c r="E1819" s="2">
        <v>1126588</v>
      </c>
    </row>
    <row r="1820" spans="1:5" x14ac:dyDescent="0.25">
      <c r="A1820" s="4">
        <v>41994.908182870371</v>
      </c>
      <c r="B1820" s="2" t="s">
        <v>338</v>
      </c>
      <c r="C1820" s="2" t="s">
        <v>26</v>
      </c>
      <c r="D1820" s="2" t="str">
        <f>"9780470695340"</f>
        <v>9780470695340</v>
      </c>
      <c r="E1820" s="2">
        <v>470645</v>
      </c>
    </row>
    <row r="1821" spans="1:5" x14ac:dyDescent="0.25">
      <c r="A1821" s="4">
        <v>41994.901932870373</v>
      </c>
      <c r="B1821" s="2" t="s">
        <v>922</v>
      </c>
      <c r="C1821" s="2" t="s">
        <v>119</v>
      </c>
      <c r="D1821" s="2" t="str">
        <f>"9780520945760"</f>
        <v>9780520945760</v>
      </c>
      <c r="E1821" s="2">
        <v>547590</v>
      </c>
    </row>
    <row r="1822" spans="1:5" x14ac:dyDescent="0.25">
      <c r="A1822" s="4">
        <v>41994.878761574073</v>
      </c>
      <c r="B1822" s="2" t="s">
        <v>2171</v>
      </c>
      <c r="C1822" s="2" t="s">
        <v>2170</v>
      </c>
      <c r="D1822" s="2" t="str">
        <f>"9781783600595"</f>
        <v>9781783600595</v>
      </c>
      <c r="E1822" s="2">
        <v>1812475</v>
      </c>
    </row>
    <row r="1823" spans="1:5" x14ac:dyDescent="0.25">
      <c r="A1823" s="4">
        <v>41994.88994212963</v>
      </c>
      <c r="B1823" s="2" t="s">
        <v>1796</v>
      </c>
      <c r="C1823" s="2" t="s">
        <v>72</v>
      </c>
      <c r="D1823" s="2" t="str">
        <f>"9780748691517"</f>
        <v>9780748691517</v>
      </c>
      <c r="E1823" s="2">
        <v>1767555</v>
      </c>
    </row>
    <row r="1824" spans="1:5" x14ac:dyDescent="0.25">
      <c r="A1824" s="4">
        <v>41909.563761574071</v>
      </c>
      <c r="B1824" s="2" t="s">
        <v>3628</v>
      </c>
      <c r="C1824" s="2" t="s">
        <v>26</v>
      </c>
      <c r="D1824" s="2" t="str">
        <f>"9780470231593"</f>
        <v>9780470231593</v>
      </c>
      <c r="E1824" s="2">
        <v>315201</v>
      </c>
    </row>
    <row r="1825" spans="1:5" x14ac:dyDescent="0.25">
      <c r="A1825" s="4">
        <v>41994.899155092593</v>
      </c>
      <c r="B1825" s="2" t="s">
        <v>1062</v>
      </c>
      <c r="C1825" s="2" t="s">
        <v>63</v>
      </c>
      <c r="D1825" s="2" t="str">
        <f>"9781400856008"</f>
        <v>9781400856008</v>
      </c>
      <c r="E1825" s="2">
        <v>1700973</v>
      </c>
    </row>
    <row r="1826" spans="1:5" x14ac:dyDescent="0.25">
      <c r="A1826" s="4">
        <v>41994.899155092593</v>
      </c>
      <c r="B1826" s="2" t="s">
        <v>1062</v>
      </c>
      <c r="C1826" s="2" t="s">
        <v>63</v>
      </c>
      <c r="D1826" s="2" t="str">
        <f>"9781400856015"</f>
        <v>9781400856015</v>
      </c>
      <c r="E1826" s="2">
        <v>1700972</v>
      </c>
    </row>
    <row r="1827" spans="1:5" x14ac:dyDescent="0.25">
      <c r="A1827" s="4">
        <v>41975.9999537037</v>
      </c>
      <c r="B1827" s="2" t="s">
        <v>2740</v>
      </c>
      <c r="C1827" s="2" t="s">
        <v>2741</v>
      </c>
      <c r="D1827" s="2" t="str">
        <f>"9781841123516"</f>
        <v>9781841123516</v>
      </c>
      <c r="E1827" s="2">
        <v>121427</v>
      </c>
    </row>
    <row r="1828" spans="1:5" x14ac:dyDescent="0.25">
      <c r="A1828" s="4">
        <v>41981.846377314818</v>
      </c>
      <c r="B1828" s="2" t="s">
        <v>2465</v>
      </c>
      <c r="C1828" s="2" t="s">
        <v>70</v>
      </c>
      <c r="D1828" s="2" t="str">
        <f>"9781598299571"</f>
        <v>9781598299571</v>
      </c>
      <c r="E1828" s="2">
        <v>881112</v>
      </c>
    </row>
    <row r="1829" spans="1:5" x14ac:dyDescent="0.25">
      <c r="A1829" s="4">
        <v>41809.4925</v>
      </c>
      <c r="B1829" s="2" t="s">
        <v>3998</v>
      </c>
      <c r="C1829" s="2" t="s">
        <v>26</v>
      </c>
      <c r="D1829" s="2" t="str">
        <f>"9780470407943"</f>
        <v>9780470407943</v>
      </c>
      <c r="E1829" s="2">
        <v>468973</v>
      </c>
    </row>
    <row r="1830" spans="1:5" x14ac:dyDescent="0.25">
      <c r="A1830" s="4">
        <v>41975.260312500002</v>
      </c>
      <c r="B1830" s="2" t="s">
        <v>2871</v>
      </c>
      <c r="C1830" s="2" t="s">
        <v>72</v>
      </c>
      <c r="D1830" s="2" t="str">
        <f>"9780748677658"</f>
        <v>9780748677658</v>
      </c>
      <c r="E1830" s="2">
        <v>1173639</v>
      </c>
    </row>
    <row r="1831" spans="1:5" x14ac:dyDescent="0.25">
      <c r="A1831" s="4">
        <v>41933.627939814818</v>
      </c>
      <c r="B1831" s="2" t="s">
        <v>3087</v>
      </c>
      <c r="C1831" s="2" t="s">
        <v>119</v>
      </c>
      <c r="D1831" s="2" t="str">
        <f>"9780520958944"</f>
        <v>9780520958944</v>
      </c>
      <c r="E1831" s="2">
        <v>1711046</v>
      </c>
    </row>
    <row r="1832" spans="1:5" x14ac:dyDescent="0.25">
      <c r="A1832" s="4">
        <v>41994.885000000002</v>
      </c>
      <c r="B1832" s="2" t="s">
        <v>2112</v>
      </c>
      <c r="C1832" s="2" t="s">
        <v>74</v>
      </c>
      <c r="D1832" s="2" t="str">
        <f>"9781441189677"</f>
        <v>9781441189677</v>
      </c>
      <c r="E1832" s="2">
        <v>617174</v>
      </c>
    </row>
    <row r="1833" spans="1:5" x14ac:dyDescent="0.25">
      <c r="A1833" s="4">
        <v>41994.885023148148</v>
      </c>
      <c r="B1833" s="2" t="s">
        <v>2027</v>
      </c>
      <c r="C1833" s="2" t="s">
        <v>74</v>
      </c>
      <c r="D1833" s="2" t="str">
        <f>"9781441149565"</f>
        <v>9781441149565</v>
      </c>
      <c r="E1833" s="2">
        <v>1164373</v>
      </c>
    </row>
    <row r="1834" spans="1:5" x14ac:dyDescent="0.25">
      <c r="A1834" s="4">
        <v>41994.885011574072</v>
      </c>
      <c r="B1834" s="2" t="s">
        <v>2076</v>
      </c>
      <c r="C1834" s="2" t="s">
        <v>18</v>
      </c>
      <c r="D1834" s="2" t="str">
        <f>"9781441130341"</f>
        <v>9781441130341</v>
      </c>
      <c r="E1834" s="2">
        <v>773220</v>
      </c>
    </row>
    <row r="1835" spans="1:5" x14ac:dyDescent="0.25">
      <c r="A1835" s="4">
        <v>41994.901990740742</v>
      </c>
      <c r="B1835" s="2" t="s">
        <v>747</v>
      </c>
      <c r="C1835" s="2" t="s">
        <v>119</v>
      </c>
      <c r="D1835" s="2" t="str">
        <f>"9780520954168"</f>
        <v>9780520954168</v>
      </c>
      <c r="E1835" s="2">
        <v>1003990</v>
      </c>
    </row>
    <row r="1836" spans="1:5" x14ac:dyDescent="0.25">
      <c r="A1836" s="4">
        <v>41980.902905092589</v>
      </c>
      <c r="B1836" s="2" t="s">
        <v>2496</v>
      </c>
      <c r="C1836" s="2" t="s">
        <v>119</v>
      </c>
      <c r="D1836" s="2" t="str">
        <f>"9780520957060"</f>
        <v>9780520957060</v>
      </c>
      <c r="E1836" s="2">
        <v>1460690</v>
      </c>
    </row>
    <row r="1837" spans="1:5" x14ac:dyDescent="0.25">
      <c r="A1837" s="4">
        <v>41983.449629629627</v>
      </c>
      <c r="B1837" s="2" t="s">
        <v>2411</v>
      </c>
      <c r="C1837" s="2" t="s">
        <v>63</v>
      </c>
      <c r="D1837" s="2" t="str">
        <f>"9781400849284"</f>
        <v>9781400849284</v>
      </c>
      <c r="E1837" s="2">
        <v>1422514</v>
      </c>
    </row>
    <row r="1838" spans="1:5" x14ac:dyDescent="0.25">
      <c r="A1838" s="4">
        <v>41994.884988425925</v>
      </c>
      <c r="B1838" s="2" t="s">
        <v>2132</v>
      </c>
      <c r="C1838" s="2" t="s">
        <v>18</v>
      </c>
      <c r="D1838" s="2" t="str">
        <f>"9781441139016"</f>
        <v>9781441139016</v>
      </c>
      <c r="E1838" s="2">
        <v>601628</v>
      </c>
    </row>
    <row r="1839" spans="1:5" x14ac:dyDescent="0.25">
      <c r="A1839" s="4">
        <v>41994.889930555553</v>
      </c>
      <c r="B1839" s="2" t="s">
        <v>1815</v>
      </c>
      <c r="C1839" s="2" t="s">
        <v>72</v>
      </c>
      <c r="D1839" s="2" t="str">
        <f>"9780748682065"</f>
        <v>9780748682065</v>
      </c>
      <c r="E1839" s="2">
        <v>1661289</v>
      </c>
    </row>
    <row r="1840" spans="1:5" x14ac:dyDescent="0.25">
      <c r="A1840" s="4">
        <v>41994.901921296296</v>
      </c>
      <c r="B1840" s="2" t="s">
        <v>990</v>
      </c>
      <c r="C1840" s="2" t="s">
        <v>119</v>
      </c>
      <c r="D1840" s="2" t="str">
        <f>"9780520929326"</f>
        <v>9780520929326</v>
      </c>
      <c r="E1840" s="2">
        <v>224760</v>
      </c>
    </row>
    <row r="1841" spans="1:5" x14ac:dyDescent="0.25">
      <c r="A1841" s="4">
        <v>41994.896168981482</v>
      </c>
      <c r="B1841" s="2" t="s">
        <v>1460</v>
      </c>
      <c r="C1841" s="2" t="s">
        <v>28</v>
      </c>
      <c r="D1841" s="2" t="str">
        <f>"9780253011091"</f>
        <v>9780253011091</v>
      </c>
      <c r="E1841" s="2">
        <v>1480843</v>
      </c>
    </row>
    <row r="1842" spans="1:5" x14ac:dyDescent="0.25">
      <c r="A1842" s="4">
        <v>41994.889861111114</v>
      </c>
      <c r="B1842" s="2" t="s">
        <v>1906</v>
      </c>
      <c r="C1842" s="2" t="s">
        <v>72</v>
      </c>
      <c r="D1842" s="2" t="str">
        <f>"9780748635788"</f>
        <v>9780748635788</v>
      </c>
      <c r="E1842" s="2">
        <v>536979</v>
      </c>
    </row>
    <row r="1843" spans="1:5" x14ac:dyDescent="0.25">
      <c r="A1843" s="4">
        <v>41994.889930555553</v>
      </c>
      <c r="B1843" s="2" t="s">
        <v>1805</v>
      </c>
      <c r="C1843" s="2" t="s">
        <v>72</v>
      </c>
      <c r="D1843" s="2" t="str">
        <f>"9780748689651"</f>
        <v>9780748689651</v>
      </c>
      <c r="E1843" s="2">
        <v>1698593</v>
      </c>
    </row>
    <row r="1844" spans="1:5" x14ac:dyDescent="0.25">
      <c r="A1844" s="4">
        <v>41994.892916666664</v>
      </c>
      <c r="B1844" s="2" t="s">
        <v>1734</v>
      </c>
      <c r="C1844" s="2" t="s">
        <v>16</v>
      </c>
      <c r="D1844" s="2" t="str">
        <f>"9781606239568"</f>
        <v>9781606239568</v>
      </c>
      <c r="E1844" s="2">
        <v>593771</v>
      </c>
    </row>
    <row r="1845" spans="1:5" x14ac:dyDescent="0.25">
      <c r="A1845" s="4">
        <v>41917.550162037034</v>
      </c>
      <c r="B1845" s="2" t="s">
        <v>3461</v>
      </c>
      <c r="C1845" s="2" t="s">
        <v>2283</v>
      </c>
      <c r="D1845" s="2" t="str">
        <f>"9789027270917"</f>
        <v>9789027270917</v>
      </c>
      <c r="E1845" s="2">
        <v>1595192</v>
      </c>
    </row>
    <row r="1846" spans="1:5" x14ac:dyDescent="0.25">
      <c r="A1846" s="4">
        <v>41974.474444444444</v>
      </c>
      <c r="B1846" s="2" t="s">
        <v>2979</v>
      </c>
      <c r="C1846" s="2" t="s">
        <v>36</v>
      </c>
      <c r="D1846" s="2" t="str">
        <f>"9781476616254"</f>
        <v>9781476616254</v>
      </c>
      <c r="E1846" s="2">
        <v>1695976</v>
      </c>
    </row>
    <row r="1847" spans="1:5" x14ac:dyDescent="0.25">
      <c r="A1847" s="4">
        <v>41976.63077546296</v>
      </c>
      <c r="B1847" s="2" t="s">
        <v>2659</v>
      </c>
      <c r="C1847" s="2" t="s">
        <v>18</v>
      </c>
      <c r="D1847" s="2" t="str">
        <f>"9781441188144"</f>
        <v>9781441188144</v>
      </c>
      <c r="E1847" s="2">
        <v>454772</v>
      </c>
    </row>
    <row r="1848" spans="1:5" x14ac:dyDescent="0.25">
      <c r="A1848" s="4">
        <v>41994.896099537036</v>
      </c>
      <c r="B1848" s="2" t="s">
        <v>1594</v>
      </c>
      <c r="C1848" s="2" t="s">
        <v>28</v>
      </c>
      <c r="D1848" s="2" t="str">
        <f>"9780253002891"</f>
        <v>9780253002891</v>
      </c>
      <c r="E1848" s="2">
        <v>437628</v>
      </c>
    </row>
    <row r="1849" spans="1:5" x14ac:dyDescent="0.25">
      <c r="A1849" s="4">
        <v>41994.885000000002</v>
      </c>
      <c r="B1849" s="2" t="s">
        <v>2109</v>
      </c>
      <c r="C1849" s="2" t="s">
        <v>18</v>
      </c>
      <c r="D1849" s="2" t="str">
        <f>"9781441182982"</f>
        <v>9781441182982</v>
      </c>
      <c r="E1849" s="2">
        <v>617198</v>
      </c>
    </row>
    <row r="1850" spans="1:5" x14ac:dyDescent="0.25">
      <c r="A1850" s="4">
        <v>41994.901967592596</v>
      </c>
      <c r="B1850" s="2" t="s">
        <v>811</v>
      </c>
      <c r="C1850" s="2" t="s">
        <v>119</v>
      </c>
      <c r="D1850" s="2" t="str">
        <f>"9780520938458"</f>
        <v>9780520938458</v>
      </c>
      <c r="E1850" s="2">
        <v>837318</v>
      </c>
    </row>
    <row r="1851" spans="1:5" x14ac:dyDescent="0.25">
      <c r="A1851" s="4">
        <v>41994.901990740742</v>
      </c>
      <c r="B1851" s="2" t="s">
        <v>740</v>
      </c>
      <c r="C1851" s="2" t="s">
        <v>119</v>
      </c>
      <c r="D1851" s="2" t="str">
        <f>"9780520953963"</f>
        <v>9780520953963</v>
      </c>
      <c r="E1851" s="2">
        <v>1046306</v>
      </c>
    </row>
    <row r="1852" spans="1:5" x14ac:dyDescent="0.25">
      <c r="A1852" s="4">
        <v>41994.908182870371</v>
      </c>
      <c r="B1852" s="2" t="s">
        <v>335</v>
      </c>
      <c r="C1852" s="2" t="s">
        <v>26</v>
      </c>
      <c r="D1852" s="2" t="str">
        <f>"9780470567326"</f>
        <v>9780470567326</v>
      </c>
      <c r="E1852" s="2">
        <v>477741</v>
      </c>
    </row>
    <row r="1853" spans="1:5" x14ac:dyDescent="0.25">
      <c r="A1853" s="4">
        <v>41925.179166666669</v>
      </c>
      <c r="B1853" s="2" t="s">
        <v>3286</v>
      </c>
      <c r="C1853" s="2" t="s">
        <v>160</v>
      </c>
      <c r="D1853" s="2" t="str">
        <f>"9781405140850"</f>
        <v>9781405140850</v>
      </c>
      <c r="E1853" s="2">
        <v>228578</v>
      </c>
    </row>
    <row r="1854" spans="1:5" x14ac:dyDescent="0.25">
      <c r="A1854" s="4">
        <v>41994.905624999999</v>
      </c>
      <c r="B1854" s="2" t="s">
        <v>472</v>
      </c>
      <c r="C1854" s="2" t="s">
        <v>424</v>
      </c>
      <c r="D1854" s="2" t="str">
        <f>"9781469608815"</f>
        <v>9781469608815</v>
      </c>
      <c r="E1854" s="2">
        <v>1220633</v>
      </c>
    </row>
    <row r="1855" spans="1:5" x14ac:dyDescent="0.25">
      <c r="A1855" s="4">
        <v>41994.878750000003</v>
      </c>
      <c r="B1855" s="2" t="s">
        <v>2193</v>
      </c>
      <c r="C1855" s="2" t="s">
        <v>2170</v>
      </c>
      <c r="D1855" s="2" t="str">
        <f>"9781848135697"</f>
        <v>9781848135697</v>
      </c>
      <c r="E1855" s="2">
        <v>1126847</v>
      </c>
    </row>
    <row r="1856" spans="1:5" x14ac:dyDescent="0.25">
      <c r="A1856" s="4">
        <v>41986.658009259256</v>
      </c>
      <c r="B1856" s="2" t="s">
        <v>2321</v>
      </c>
      <c r="C1856" s="2" t="s">
        <v>96</v>
      </c>
      <c r="D1856" s="2" t="str">
        <f>"9781469615516"</f>
        <v>9781469615516</v>
      </c>
      <c r="E1856" s="2">
        <v>1655863</v>
      </c>
    </row>
    <row r="1857" spans="1:5" x14ac:dyDescent="0.25">
      <c r="A1857" s="4">
        <v>41977.150300925925</v>
      </c>
      <c r="B1857" s="2" t="s">
        <v>2621</v>
      </c>
      <c r="C1857" s="2" t="s">
        <v>119</v>
      </c>
      <c r="D1857" s="2" t="str">
        <f>"9780520953598"</f>
        <v>9780520953598</v>
      </c>
      <c r="E1857" s="2">
        <v>999937</v>
      </c>
    </row>
    <row r="1858" spans="1:5" x14ac:dyDescent="0.25">
      <c r="A1858" s="4">
        <v>41994.902013888888</v>
      </c>
      <c r="B1858" s="2" t="s">
        <v>662</v>
      </c>
      <c r="C1858" s="2" t="s">
        <v>119</v>
      </c>
      <c r="D1858" s="2" t="str">
        <f>"9780520958203"</f>
        <v>9780520958203</v>
      </c>
      <c r="E1858" s="2">
        <v>1676319</v>
      </c>
    </row>
    <row r="1859" spans="1:5" x14ac:dyDescent="0.25">
      <c r="A1859" s="4">
        <v>41933.655868055554</v>
      </c>
      <c r="B1859" s="2" t="s">
        <v>3082</v>
      </c>
      <c r="C1859" s="2" t="s">
        <v>119</v>
      </c>
      <c r="D1859" s="2" t="str">
        <f>"9780520955417"</f>
        <v>9780520955417</v>
      </c>
      <c r="E1859" s="2">
        <v>1466989</v>
      </c>
    </row>
    <row r="1860" spans="1:5" x14ac:dyDescent="0.25">
      <c r="A1860" s="4">
        <v>42878.544305555559</v>
      </c>
      <c r="B1860" s="2" t="s">
        <v>149</v>
      </c>
      <c r="C1860" s="2" t="s">
        <v>18</v>
      </c>
      <c r="D1860" s="2" t="str">
        <f>"9781472585301"</f>
        <v>9781472585301</v>
      </c>
      <c r="E1860" s="2">
        <v>4731279</v>
      </c>
    </row>
    <row r="1861" spans="1:5" x14ac:dyDescent="0.25">
      <c r="A1861" s="4">
        <v>41905.77616898148</v>
      </c>
      <c r="B1861" s="2" t="s">
        <v>3732</v>
      </c>
      <c r="C1861" s="2" t="s">
        <v>7</v>
      </c>
      <c r="D1861" s="2" t="str">
        <f>"9781452208770"</f>
        <v>9781452208770</v>
      </c>
      <c r="E1861" s="2">
        <v>1684523</v>
      </c>
    </row>
    <row r="1862" spans="1:5" x14ac:dyDescent="0.25">
      <c r="A1862" s="4">
        <v>41980.946006944447</v>
      </c>
      <c r="B1862" s="2" t="s">
        <v>2494</v>
      </c>
      <c r="C1862" s="2" t="s">
        <v>7</v>
      </c>
      <c r="D1862" s="2" t="str">
        <f>"9781412931502"</f>
        <v>9781412931502</v>
      </c>
      <c r="E1862" s="2">
        <v>254574</v>
      </c>
    </row>
    <row r="1863" spans="1:5" x14ac:dyDescent="0.25">
      <c r="A1863" s="4">
        <v>41994.90824074074</v>
      </c>
      <c r="B1863" s="2" t="s">
        <v>185</v>
      </c>
      <c r="C1863" s="2" t="s">
        <v>160</v>
      </c>
      <c r="D1863" s="2" t="str">
        <f>"9781118154267"</f>
        <v>9781118154267</v>
      </c>
      <c r="E1863" s="2">
        <v>818820</v>
      </c>
    </row>
    <row r="1864" spans="1:5" x14ac:dyDescent="0.25">
      <c r="A1864" s="4">
        <v>41994.908206018517</v>
      </c>
      <c r="B1864" s="2" t="s">
        <v>292</v>
      </c>
      <c r="C1864" s="2" t="s">
        <v>26</v>
      </c>
      <c r="D1864" s="2" t="str">
        <f>"9781118031742"</f>
        <v>9781118031742</v>
      </c>
      <c r="E1864" s="2">
        <v>661471</v>
      </c>
    </row>
    <row r="1865" spans="1:5" x14ac:dyDescent="0.25">
      <c r="A1865" s="4">
        <v>41983.987743055557</v>
      </c>
      <c r="B1865" s="2" t="s">
        <v>2380</v>
      </c>
      <c r="C1865" s="2" t="s">
        <v>26</v>
      </c>
      <c r="D1865" s="2" t="str">
        <f>"9780787969769"</f>
        <v>9780787969769</v>
      </c>
      <c r="E1865" s="2">
        <v>157967</v>
      </c>
    </row>
    <row r="1866" spans="1:5" x14ac:dyDescent="0.25">
      <c r="A1866" s="4">
        <v>41908.663032407407</v>
      </c>
      <c r="B1866" s="2" t="s">
        <v>3645</v>
      </c>
      <c r="C1866" s="2" t="s">
        <v>7</v>
      </c>
      <c r="D1866" s="2" t="str">
        <f>"9781412965538"</f>
        <v>9781412965538</v>
      </c>
      <c r="E1866" s="2">
        <v>1077646</v>
      </c>
    </row>
    <row r="1867" spans="1:5" x14ac:dyDescent="0.25">
      <c r="A1867" s="4">
        <v>41916.0783912037</v>
      </c>
      <c r="B1867" s="2" t="s">
        <v>3482</v>
      </c>
      <c r="C1867" s="2" t="s">
        <v>7</v>
      </c>
      <c r="D1867" s="2" t="str">
        <f>"9781452222509"</f>
        <v>9781452222509</v>
      </c>
      <c r="E1867" s="2">
        <v>996418</v>
      </c>
    </row>
    <row r="1868" spans="1:5" x14ac:dyDescent="0.25">
      <c r="A1868" s="4">
        <v>41994.908217592594</v>
      </c>
      <c r="B1868" s="2" t="s">
        <v>257</v>
      </c>
      <c r="C1868" s="2" t="s">
        <v>26</v>
      </c>
      <c r="D1868" s="2" t="str">
        <f>"9781118067345"</f>
        <v>9781118067345</v>
      </c>
      <c r="E1868" s="2">
        <v>697558</v>
      </c>
    </row>
    <row r="1869" spans="1:5" x14ac:dyDescent="0.25">
      <c r="A1869" s="4">
        <v>41994.908159722225</v>
      </c>
      <c r="B1869" s="2" t="s">
        <v>398</v>
      </c>
      <c r="C1869" s="2" t="s">
        <v>26</v>
      </c>
      <c r="D1869" s="2" t="str">
        <f>"9780471764045"</f>
        <v>9780471764045</v>
      </c>
      <c r="E1869" s="2">
        <v>242878</v>
      </c>
    </row>
    <row r="1870" spans="1:5" x14ac:dyDescent="0.25">
      <c r="A1870" s="4">
        <v>41994.90824074074</v>
      </c>
      <c r="B1870" s="2" t="s">
        <v>170</v>
      </c>
      <c r="C1870" s="2" t="s">
        <v>171</v>
      </c>
      <c r="D1870" s="2" t="str">
        <f>"9780730377672"</f>
        <v>9780730377672</v>
      </c>
      <c r="E1870" s="2">
        <v>822341</v>
      </c>
    </row>
    <row r="1871" spans="1:5" x14ac:dyDescent="0.25">
      <c r="A1871" s="4">
        <v>41977.671736111108</v>
      </c>
      <c r="B1871" s="2" t="s">
        <v>2596</v>
      </c>
      <c r="C1871" s="2" t="s">
        <v>5</v>
      </c>
      <c r="D1871" s="2" t="str">
        <f>"9780857003485"</f>
        <v>9780857003485</v>
      </c>
      <c r="E1871" s="2">
        <v>677661</v>
      </c>
    </row>
    <row r="1872" spans="1:5" x14ac:dyDescent="0.25">
      <c r="A1872" s="4">
        <v>41994.892893518518</v>
      </c>
      <c r="B1872" s="2" t="s">
        <v>1791</v>
      </c>
      <c r="C1872" s="2" t="s">
        <v>16</v>
      </c>
      <c r="D1872" s="2" t="str">
        <f>"9781593856274"</f>
        <v>9781593856274</v>
      </c>
      <c r="E1872" s="2">
        <v>306767</v>
      </c>
    </row>
    <row r="1873" spans="1:5" x14ac:dyDescent="0.25">
      <c r="A1873" s="4">
        <v>41904.900520833333</v>
      </c>
      <c r="B1873" s="2" t="s">
        <v>3760</v>
      </c>
      <c r="C1873" s="2" t="s">
        <v>26</v>
      </c>
      <c r="D1873" s="2" t="str">
        <f>"9780470685877"</f>
        <v>9780470685877</v>
      </c>
      <c r="E1873" s="2">
        <v>470277</v>
      </c>
    </row>
    <row r="1874" spans="1:5" x14ac:dyDescent="0.25">
      <c r="A1874" s="4">
        <v>41994.901898148149</v>
      </c>
      <c r="B1874" s="2" t="s">
        <v>1036</v>
      </c>
      <c r="C1874" s="2" t="s">
        <v>119</v>
      </c>
      <c r="D1874" s="2" t="str">
        <f>"9780520927520"</f>
        <v>9780520927520</v>
      </c>
      <c r="E1874" s="2">
        <v>223067</v>
      </c>
    </row>
    <row r="1875" spans="1:5" x14ac:dyDescent="0.25">
      <c r="A1875" s="4">
        <v>41994.885023148148</v>
      </c>
      <c r="B1875" s="2" t="s">
        <v>2029</v>
      </c>
      <c r="C1875" s="2" t="s">
        <v>74</v>
      </c>
      <c r="D1875" s="2" t="str">
        <f>"9781441117267"</f>
        <v>9781441117267</v>
      </c>
      <c r="E1875" s="2">
        <v>1164367</v>
      </c>
    </row>
    <row r="1876" spans="1:5" x14ac:dyDescent="0.25">
      <c r="A1876" s="4">
        <v>41930.524571759262</v>
      </c>
      <c r="B1876" s="2" t="s">
        <v>3157</v>
      </c>
      <c r="C1876" s="2" t="s">
        <v>205</v>
      </c>
      <c r="D1876" s="2" t="str">
        <f>"9780787977054"</f>
        <v>9780787977054</v>
      </c>
      <c r="E1876" s="2">
        <v>469538</v>
      </c>
    </row>
    <row r="1877" spans="1:5" x14ac:dyDescent="0.25">
      <c r="A1877" s="4">
        <v>41994.896134259259</v>
      </c>
      <c r="B1877" s="2" t="s">
        <v>1542</v>
      </c>
      <c r="C1877" s="2" t="s">
        <v>28</v>
      </c>
      <c r="D1877" s="2" t="str">
        <f>"9780253000880"</f>
        <v>9780253000880</v>
      </c>
      <c r="E1877" s="2">
        <v>713663</v>
      </c>
    </row>
    <row r="1878" spans="1:5" x14ac:dyDescent="0.25">
      <c r="A1878" s="4">
        <v>41975.875243055554</v>
      </c>
      <c r="B1878" s="2" t="s">
        <v>2764</v>
      </c>
      <c r="C1878" s="2" t="s">
        <v>2283</v>
      </c>
      <c r="D1878" s="2" t="str">
        <f>"9789027284839"</f>
        <v>9789027284839</v>
      </c>
      <c r="E1878" s="2">
        <v>777087</v>
      </c>
    </row>
    <row r="1879" spans="1:5" x14ac:dyDescent="0.25">
      <c r="A1879" s="4">
        <v>41994.899131944447</v>
      </c>
      <c r="B1879" s="2" t="s">
        <v>1140</v>
      </c>
      <c r="C1879" s="2" t="s">
        <v>63</v>
      </c>
      <c r="D1879" s="2" t="str">
        <f>"9781400848713"</f>
        <v>9781400848713</v>
      </c>
      <c r="E1879" s="2">
        <v>1329788</v>
      </c>
    </row>
    <row r="1880" spans="1:5" x14ac:dyDescent="0.25">
      <c r="A1880" s="4">
        <v>41994.878761574073</v>
      </c>
      <c r="B1880" s="2" t="s">
        <v>2178</v>
      </c>
      <c r="C1880" s="2" t="s">
        <v>2170</v>
      </c>
      <c r="D1880" s="2" t="str">
        <f>"9781780329239"</f>
        <v>9781780329239</v>
      </c>
      <c r="E1880" s="2">
        <v>1665610</v>
      </c>
    </row>
    <row r="1881" spans="1:5" x14ac:dyDescent="0.25">
      <c r="A1881" s="4">
        <v>41994.889918981484</v>
      </c>
      <c r="B1881" s="2" t="s">
        <v>1845</v>
      </c>
      <c r="C1881" s="2" t="s">
        <v>72</v>
      </c>
      <c r="D1881" s="2" t="str">
        <f>"9780748645060"</f>
        <v>9780748645060</v>
      </c>
      <c r="E1881" s="2">
        <v>1069068</v>
      </c>
    </row>
    <row r="1882" spans="1:5" x14ac:dyDescent="0.25">
      <c r="A1882" s="4">
        <v>41933.631851851853</v>
      </c>
      <c r="B1882" s="2" t="s">
        <v>3086</v>
      </c>
      <c r="C1882" s="2" t="s">
        <v>424</v>
      </c>
      <c r="D1882" s="2" t="str">
        <f>"9780807889886"</f>
        <v>9780807889886</v>
      </c>
      <c r="E1882" s="2">
        <v>454811</v>
      </c>
    </row>
    <row r="1883" spans="1:5" x14ac:dyDescent="0.25">
      <c r="A1883" s="4">
        <v>41994.899131944447</v>
      </c>
      <c r="B1883" s="2" t="s">
        <v>1141</v>
      </c>
      <c r="C1883" s="2" t="s">
        <v>63</v>
      </c>
      <c r="D1883" s="2" t="str">
        <f>"9781400848560"</f>
        <v>9781400848560</v>
      </c>
      <c r="E1883" s="2">
        <v>1329787</v>
      </c>
    </row>
    <row r="1884" spans="1:5" x14ac:dyDescent="0.25">
      <c r="A1884" s="4">
        <v>41994.899097222224</v>
      </c>
      <c r="B1884" s="2" t="s">
        <v>1247</v>
      </c>
      <c r="C1884" s="2" t="s">
        <v>63</v>
      </c>
      <c r="D1884" s="2" t="str">
        <f>"9781400824434"</f>
        <v>9781400824434</v>
      </c>
      <c r="E1884" s="2">
        <v>859833</v>
      </c>
    </row>
    <row r="1885" spans="1:5" x14ac:dyDescent="0.25">
      <c r="A1885" s="4">
        <v>41994.899131944447</v>
      </c>
      <c r="B1885" s="2" t="s">
        <v>1121</v>
      </c>
      <c r="C1885" s="2" t="s">
        <v>63</v>
      </c>
      <c r="D1885" s="2" t="str">
        <f>"9781400848430"</f>
        <v>9781400848430</v>
      </c>
      <c r="E1885" s="2">
        <v>1489938</v>
      </c>
    </row>
    <row r="1886" spans="1:5" x14ac:dyDescent="0.25">
      <c r="A1886" s="4">
        <v>41808.587199074071</v>
      </c>
      <c r="B1886" s="2" t="s">
        <v>4001</v>
      </c>
      <c r="C1886" s="2" t="s">
        <v>16</v>
      </c>
      <c r="D1886" s="2" t="str">
        <f>"9781462504749"</f>
        <v>9781462504749</v>
      </c>
      <c r="E1886" s="2">
        <v>886775</v>
      </c>
    </row>
    <row r="1887" spans="1:5" x14ac:dyDescent="0.25">
      <c r="A1887" s="4">
        <v>41994.885057870371</v>
      </c>
      <c r="B1887" s="2" t="s">
        <v>1960</v>
      </c>
      <c r="C1887" s="2" t="s">
        <v>74</v>
      </c>
      <c r="D1887" s="2" t="str">
        <f>"9781623563288"</f>
        <v>9781623563288</v>
      </c>
      <c r="E1887" s="2">
        <v>1637120</v>
      </c>
    </row>
    <row r="1888" spans="1:5" x14ac:dyDescent="0.25">
      <c r="A1888" s="4">
        <v>41933.318969907406</v>
      </c>
      <c r="B1888" s="2" t="s">
        <v>3103</v>
      </c>
      <c r="C1888" s="2" t="s">
        <v>1934</v>
      </c>
      <c r="D1888" s="2" t="str">
        <f>"9781441148230"</f>
        <v>9781441148230</v>
      </c>
      <c r="E1888" s="2">
        <v>743230</v>
      </c>
    </row>
    <row r="1889" spans="1:5" x14ac:dyDescent="0.25">
      <c r="A1889" s="4">
        <v>41994.88989583333</v>
      </c>
      <c r="B1889" s="2" t="s">
        <v>1864</v>
      </c>
      <c r="C1889" s="2" t="s">
        <v>72</v>
      </c>
      <c r="D1889" s="2" t="str">
        <f>"9780748647064"</f>
        <v>9780748647064</v>
      </c>
      <c r="E1889" s="2">
        <v>744026</v>
      </c>
    </row>
    <row r="1890" spans="1:5" x14ac:dyDescent="0.25">
      <c r="A1890" s="4">
        <v>41994.884976851848</v>
      </c>
      <c r="B1890" s="2" t="s">
        <v>2154</v>
      </c>
      <c r="C1890" s="2" t="s">
        <v>18</v>
      </c>
      <c r="D1890" s="2" t="str">
        <f>"9781441188212"</f>
        <v>9781441188212</v>
      </c>
      <c r="E1890" s="2">
        <v>436590</v>
      </c>
    </row>
    <row r="1891" spans="1:5" x14ac:dyDescent="0.25">
      <c r="A1891" s="4">
        <v>41983.929976851854</v>
      </c>
      <c r="B1891" s="2" t="s">
        <v>2381</v>
      </c>
      <c r="C1891" s="2" t="s">
        <v>63</v>
      </c>
      <c r="D1891" s="2" t="str">
        <f>"9781400830701"</f>
        <v>9781400830701</v>
      </c>
      <c r="E1891" s="2">
        <v>675886</v>
      </c>
    </row>
    <row r="1892" spans="1:5" x14ac:dyDescent="0.25">
      <c r="A1892" s="4">
        <v>41994.899143518516</v>
      </c>
      <c r="B1892" s="2" t="s">
        <v>1093</v>
      </c>
      <c r="C1892" s="2" t="s">
        <v>63</v>
      </c>
      <c r="D1892" s="2" t="str">
        <f>"9781400850037"</f>
        <v>9781400850037</v>
      </c>
      <c r="E1892" s="2">
        <v>1589166</v>
      </c>
    </row>
    <row r="1893" spans="1:5" x14ac:dyDescent="0.25">
      <c r="A1893" s="4">
        <v>41926.592719907407</v>
      </c>
      <c r="B1893" s="2" t="s">
        <v>3241</v>
      </c>
      <c r="C1893" s="2" t="s">
        <v>424</v>
      </c>
      <c r="D1893" s="2" t="str">
        <f>"9780807863534"</f>
        <v>9780807863534</v>
      </c>
      <c r="E1893" s="2">
        <v>413267</v>
      </c>
    </row>
    <row r="1894" spans="1:5" x14ac:dyDescent="0.25">
      <c r="A1894" s="4">
        <v>41983.810069444444</v>
      </c>
      <c r="B1894" s="2" t="s">
        <v>2389</v>
      </c>
      <c r="C1894" s="2" t="s">
        <v>36</v>
      </c>
      <c r="D1894" s="2" t="str">
        <f>"9780786455522"</f>
        <v>9780786455522</v>
      </c>
      <c r="E1894" s="2">
        <v>1594852</v>
      </c>
    </row>
    <row r="1895" spans="1:5" x14ac:dyDescent="0.25">
      <c r="A1895" s="4">
        <v>41994.902002314811</v>
      </c>
      <c r="B1895" s="2" t="s">
        <v>722</v>
      </c>
      <c r="C1895" s="2" t="s">
        <v>119</v>
      </c>
      <c r="D1895" s="2" t="str">
        <f>"9780520955189"</f>
        <v>9780520955189</v>
      </c>
      <c r="E1895" s="2">
        <v>1120969</v>
      </c>
    </row>
    <row r="1896" spans="1:5" x14ac:dyDescent="0.25">
      <c r="A1896" s="4">
        <v>41994.896111111113</v>
      </c>
      <c r="B1896" s="2" t="s">
        <v>1572</v>
      </c>
      <c r="C1896" s="2" t="s">
        <v>28</v>
      </c>
      <c r="D1896" s="2" t="str">
        <f>"9780253004680"</f>
        <v>9780253004680</v>
      </c>
      <c r="E1896" s="2">
        <v>588796</v>
      </c>
    </row>
    <row r="1897" spans="1:5" x14ac:dyDescent="0.25">
      <c r="A1897" s="4">
        <v>41994.905613425923</v>
      </c>
      <c r="B1897" s="2" t="s">
        <v>507</v>
      </c>
      <c r="C1897" s="2" t="s">
        <v>424</v>
      </c>
      <c r="D1897" s="2" t="str">
        <f>"9781469606620"</f>
        <v>9781469606620</v>
      </c>
      <c r="E1897" s="2">
        <v>934365</v>
      </c>
    </row>
    <row r="1898" spans="1:5" x14ac:dyDescent="0.25">
      <c r="A1898" s="4">
        <v>41994.899050925924</v>
      </c>
      <c r="B1898" s="2" t="s">
        <v>1399</v>
      </c>
      <c r="C1898" s="2" t="s">
        <v>63</v>
      </c>
      <c r="D1898" s="2" t="str">
        <f>"9781400832088"</f>
        <v>9781400832088</v>
      </c>
      <c r="E1898" s="2">
        <v>475838</v>
      </c>
    </row>
    <row r="1899" spans="1:5" x14ac:dyDescent="0.25">
      <c r="A1899" s="4">
        <v>43187.532534722224</v>
      </c>
      <c r="B1899" s="2" t="s">
        <v>75</v>
      </c>
      <c r="C1899" s="2" t="s">
        <v>36</v>
      </c>
      <c r="D1899" s="2" t="str">
        <f>"9780786487189"</f>
        <v>9780786487189</v>
      </c>
      <c r="E1899" s="2">
        <v>771383</v>
      </c>
    </row>
    <row r="1900" spans="1:5" x14ac:dyDescent="0.25">
      <c r="A1900" s="4">
        <v>41994.905578703707</v>
      </c>
      <c r="B1900" s="2" t="s">
        <v>602</v>
      </c>
      <c r="C1900" s="2" t="s">
        <v>96</v>
      </c>
      <c r="D1900" s="2" t="str">
        <f>"9780807895412"</f>
        <v>9780807895412</v>
      </c>
      <c r="E1900" s="2">
        <v>475153</v>
      </c>
    </row>
    <row r="1901" spans="1:5" x14ac:dyDescent="0.25">
      <c r="A1901" s="4">
        <v>41994.899085648147</v>
      </c>
      <c r="B1901" s="2" t="s">
        <v>1309</v>
      </c>
      <c r="C1901" s="2" t="s">
        <v>63</v>
      </c>
      <c r="D1901" s="2" t="str">
        <f>"9781400838639"</f>
        <v>9781400838639</v>
      </c>
      <c r="E1901" s="2">
        <v>681321</v>
      </c>
    </row>
    <row r="1902" spans="1:5" x14ac:dyDescent="0.25">
      <c r="A1902" s="4">
        <v>41994.908229166664</v>
      </c>
      <c r="B1902" s="2" t="s">
        <v>202</v>
      </c>
      <c r="C1902" s="2" t="s">
        <v>26</v>
      </c>
      <c r="D1902" s="2" t="str">
        <f>"9781118132241"</f>
        <v>9781118132241</v>
      </c>
      <c r="E1902" s="2">
        <v>817347</v>
      </c>
    </row>
    <row r="1903" spans="1:5" x14ac:dyDescent="0.25">
      <c r="A1903" s="4">
        <v>41994.884988425925</v>
      </c>
      <c r="B1903" s="2" t="s">
        <v>2116</v>
      </c>
      <c r="C1903" s="2" t="s">
        <v>74</v>
      </c>
      <c r="D1903" s="2" t="str">
        <f>"9781441135322"</f>
        <v>9781441135322</v>
      </c>
      <c r="E1903" s="2">
        <v>601993</v>
      </c>
    </row>
    <row r="1904" spans="1:5" x14ac:dyDescent="0.25">
      <c r="A1904" s="4">
        <v>41975.876539351855</v>
      </c>
      <c r="B1904" s="2" t="s">
        <v>2763</v>
      </c>
      <c r="C1904" s="2" t="s">
        <v>7</v>
      </c>
      <c r="D1904" s="2" t="str">
        <f>"9781848600690"</f>
        <v>9781848600690</v>
      </c>
      <c r="E1904" s="2">
        <v>343965</v>
      </c>
    </row>
    <row r="1905" spans="1:5" x14ac:dyDescent="0.25">
      <c r="A1905" s="4">
        <v>41994.892893518518</v>
      </c>
      <c r="B1905" s="2" t="s">
        <v>1771</v>
      </c>
      <c r="C1905" s="2" t="s">
        <v>16</v>
      </c>
      <c r="D1905" s="2" t="str">
        <f>"9781606232200"</f>
        <v>9781606232200</v>
      </c>
      <c r="E1905" s="2">
        <v>362565</v>
      </c>
    </row>
    <row r="1906" spans="1:5" x14ac:dyDescent="0.25">
      <c r="A1906" s="4">
        <v>41932.566828703704</v>
      </c>
      <c r="B1906" s="2" t="s">
        <v>3117</v>
      </c>
      <c r="C1906" s="2" t="s">
        <v>16</v>
      </c>
      <c r="D1906" s="2" t="str">
        <f>"9781609181642"</f>
        <v>9781609181642</v>
      </c>
      <c r="E1906" s="2">
        <v>670166</v>
      </c>
    </row>
    <row r="1907" spans="1:5" x14ac:dyDescent="0.25">
      <c r="A1907" s="4">
        <v>41982.398668981485</v>
      </c>
      <c r="B1907" s="2" t="s">
        <v>2449</v>
      </c>
      <c r="C1907" s="2" t="s">
        <v>1934</v>
      </c>
      <c r="D1907" s="2" t="str">
        <f>"9781472528315"</f>
        <v>9781472528315</v>
      </c>
      <c r="E1907" s="2">
        <v>1718197</v>
      </c>
    </row>
    <row r="1908" spans="1:5" x14ac:dyDescent="0.25">
      <c r="A1908" s="4">
        <v>41923.624513888892</v>
      </c>
      <c r="B1908" s="2" t="s">
        <v>3306</v>
      </c>
      <c r="C1908" s="2" t="s">
        <v>119</v>
      </c>
      <c r="D1908" s="2" t="str">
        <f>"9780520926738"</f>
        <v>9780520926738</v>
      </c>
      <c r="E1908" s="2">
        <v>227307</v>
      </c>
    </row>
    <row r="1909" spans="1:5" x14ac:dyDescent="0.25">
      <c r="A1909" s="4">
        <v>41982.399872685186</v>
      </c>
      <c r="B1909" s="2" t="s">
        <v>2446</v>
      </c>
      <c r="C1909" s="2" t="s">
        <v>74</v>
      </c>
      <c r="D1909" s="2" t="str">
        <f>"9781623560256"</f>
        <v>9781623560256</v>
      </c>
      <c r="E1909" s="2">
        <v>1580818</v>
      </c>
    </row>
    <row r="1910" spans="1:5" x14ac:dyDescent="0.25">
      <c r="A1910" s="4">
        <v>41976.74895833333</v>
      </c>
      <c r="B1910" s="2" t="s">
        <v>2638</v>
      </c>
      <c r="C1910" s="2" t="s">
        <v>28</v>
      </c>
      <c r="D1910" s="2" t="str">
        <f>"9780253005595"</f>
        <v>9780253005595</v>
      </c>
      <c r="E1910" s="2">
        <v>670314</v>
      </c>
    </row>
    <row r="1911" spans="1:5" x14ac:dyDescent="0.25">
      <c r="A1911" s="4">
        <v>41981.857349537036</v>
      </c>
      <c r="B1911" s="2" t="s">
        <v>2463</v>
      </c>
      <c r="C1911" s="2" t="s">
        <v>26</v>
      </c>
      <c r="D1911" s="2" t="str">
        <f>"9781118306291"</f>
        <v>9781118306291</v>
      </c>
      <c r="E1911" s="2">
        <v>827065</v>
      </c>
    </row>
    <row r="1912" spans="1:5" x14ac:dyDescent="0.25">
      <c r="A1912" s="4">
        <v>41926.557951388888</v>
      </c>
      <c r="B1912" s="2" t="s">
        <v>3244</v>
      </c>
      <c r="C1912" s="2" t="s">
        <v>18</v>
      </c>
      <c r="D1912" s="2" t="str">
        <f>"9781441167811"</f>
        <v>9781441167811</v>
      </c>
      <c r="E1912" s="2">
        <v>742898</v>
      </c>
    </row>
    <row r="1913" spans="1:5" x14ac:dyDescent="0.25">
      <c r="A1913" s="4">
        <v>41984.526805555557</v>
      </c>
      <c r="B1913" s="2" t="s">
        <v>2369</v>
      </c>
      <c r="C1913" s="2" t="s">
        <v>72</v>
      </c>
      <c r="D1913" s="2" t="str">
        <f>"9780748626441"</f>
        <v>9780748626441</v>
      </c>
      <c r="E1913" s="2">
        <v>286987</v>
      </c>
    </row>
    <row r="1914" spans="1:5" x14ac:dyDescent="0.25">
      <c r="A1914" s="4">
        <v>41994.889930555553</v>
      </c>
      <c r="B1914" s="2" t="s">
        <v>1803</v>
      </c>
      <c r="C1914" s="2" t="s">
        <v>72</v>
      </c>
      <c r="D1914" s="2" t="str">
        <f>"9780748691975"</f>
        <v>9780748691975</v>
      </c>
      <c r="E1914" s="2">
        <v>1698599</v>
      </c>
    </row>
    <row r="1915" spans="1:5" x14ac:dyDescent="0.25">
      <c r="A1915" s="4">
        <v>41994.889872685184</v>
      </c>
      <c r="B1915" s="2" t="s">
        <v>1893</v>
      </c>
      <c r="C1915" s="2" t="s">
        <v>72</v>
      </c>
      <c r="D1915" s="2" t="str">
        <f>"9780748642656"</f>
        <v>9780748642656</v>
      </c>
      <c r="E1915" s="2">
        <v>564519</v>
      </c>
    </row>
    <row r="1916" spans="1:5" x14ac:dyDescent="0.25">
      <c r="A1916" s="4">
        <v>41980.44226851852</v>
      </c>
      <c r="B1916" s="2" t="s">
        <v>2518</v>
      </c>
      <c r="C1916" s="2" t="s">
        <v>18</v>
      </c>
      <c r="D1916" s="2" t="str">
        <f>"9781441162793"</f>
        <v>9781441162793</v>
      </c>
      <c r="E1916" s="2">
        <v>742896</v>
      </c>
    </row>
    <row r="1917" spans="1:5" x14ac:dyDescent="0.25">
      <c r="A1917" s="4">
        <v>41934.286828703705</v>
      </c>
      <c r="B1917" s="2" t="s">
        <v>3069</v>
      </c>
      <c r="C1917" s="2" t="s">
        <v>26</v>
      </c>
      <c r="D1917" s="2" t="str">
        <f>"9781444302967"</f>
        <v>9781444302967</v>
      </c>
      <c r="E1917" s="2">
        <v>437491</v>
      </c>
    </row>
    <row r="1918" spans="1:5" x14ac:dyDescent="0.25">
      <c r="A1918" s="4">
        <v>41982.42391203704</v>
      </c>
      <c r="B1918" s="2" t="s">
        <v>2443</v>
      </c>
      <c r="C1918" s="2" t="s">
        <v>119</v>
      </c>
      <c r="D1918" s="2" t="str">
        <f>"9780520953772"</f>
        <v>9780520953772</v>
      </c>
      <c r="E1918" s="2">
        <v>954695</v>
      </c>
    </row>
    <row r="1919" spans="1:5" x14ac:dyDescent="0.25">
      <c r="A1919" s="4">
        <v>41994.905590277776</v>
      </c>
      <c r="B1919" s="2" t="s">
        <v>571</v>
      </c>
      <c r="C1919" s="2" t="s">
        <v>96</v>
      </c>
      <c r="D1919" s="2" t="str">
        <f>"9780807895856"</f>
        <v>9780807895856</v>
      </c>
      <c r="E1919" s="2">
        <v>673641</v>
      </c>
    </row>
    <row r="1920" spans="1:5" x14ac:dyDescent="0.25">
      <c r="A1920" s="4">
        <v>41926.879652777781</v>
      </c>
      <c r="B1920" s="2" t="s">
        <v>3233</v>
      </c>
      <c r="C1920" s="2" t="s">
        <v>26</v>
      </c>
      <c r="D1920" s="2" t="str">
        <f>"9781444340532"</f>
        <v>9781444340532</v>
      </c>
      <c r="E1920" s="2">
        <v>693771</v>
      </c>
    </row>
    <row r="1921" spans="1:5" x14ac:dyDescent="0.25">
      <c r="A1921" s="4">
        <v>41983.785763888889</v>
      </c>
      <c r="B1921" s="2" t="s">
        <v>2392</v>
      </c>
      <c r="C1921" s="2" t="s">
        <v>119</v>
      </c>
      <c r="D1921" s="2" t="str">
        <f>"9780520930995"</f>
        <v>9780520930995</v>
      </c>
      <c r="E1921" s="2">
        <v>227308</v>
      </c>
    </row>
    <row r="1922" spans="1:5" x14ac:dyDescent="0.25">
      <c r="A1922" s="4">
        <v>41974.596226851849</v>
      </c>
      <c r="B1922" s="2" t="s">
        <v>2950</v>
      </c>
      <c r="C1922" s="2" t="s">
        <v>2170</v>
      </c>
      <c r="D1922" s="2" t="str">
        <f>"9781848132733"</f>
        <v>9781848132733</v>
      </c>
      <c r="E1922" s="2">
        <v>474805</v>
      </c>
    </row>
    <row r="1923" spans="1:5" x14ac:dyDescent="0.25">
      <c r="A1923" s="4">
        <v>41911.648194444446</v>
      </c>
      <c r="B1923" s="2" t="s">
        <v>3593</v>
      </c>
      <c r="C1923" s="2" t="s">
        <v>160</v>
      </c>
      <c r="D1923" s="2" t="str">
        <f>"9780764597626"</f>
        <v>9780764597626</v>
      </c>
      <c r="E1923" s="2">
        <v>227564</v>
      </c>
    </row>
    <row r="1924" spans="1:5" x14ac:dyDescent="0.25">
      <c r="A1924" s="4">
        <v>41994.905578703707</v>
      </c>
      <c r="B1924" s="2" t="s">
        <v>595</v>
      </c>
      <c r="C1924" s="2" t="s">
        <v>96</v>
      </c>
      <c r="D1924" s="2" t="str">
        <f>"9780807898222"</f>
        <v>9780807898222</v>
      </c>
      <c r="E1924" s="2">
        <v>565692</v>
      </c>
    </row>
    <row r="1925" spans="1:5" x14ac:dyDescent="0.25">
      <c r="A1925" s="4">
        <v>41898.369074074071</v>
      </c>
      <c r="B1925" s="2" t="s">
        <v>3866</v>
      </c>
      <c r="C1925" s="2" t="s">
        <v>1934</v>
      </c>
      <c r="D1925" s="2" t="str">
        <f>"9781623567323"</f>
        <v>9781623567323</v>
      </c>
      <c r="E1925" s="2">
        <v>1685656</v>
      </c>
    </row>
    <row r="1926" spans="1:5" x14ac:dyDescent="0.25">
      <c r="A1926" s="4">
        <v>41994.899108796293</v>
      </c>
      <c r="B1926" s="2" t="s">
        <v>1225</v>
      </c>
      <c r="C1926" s="2" t="s">
        <v>63</v>
      </c>
      <c r="D1926" s="2" t="str">
        <f>"9781400842544"</f>
        <v>9781400842544</v>
      </c>
      <c r="E1926" s="2">
        <v>902772</v>
      </c>
    </row>
    <row r="1927" spans="1:5" x14ac:dyDescent="0.25">
      <c r="A1927" s="4">
        <v>41994.899108796293</v>
      </c>
      <c r="B1927" s="2" t="s">
        <v>1216</v>
      </c>
      <c r="C1927" s="2" t="s">
        <v>63</v>
      </c>
      <c r="D1927" s="2" t="str">
        <f>"9781400845064"</f>
        <v>9781400845064</v>
      </c>
      <c r="E1927" s="2">
        <v>999946</v>
      </c>
    </row>
    <row r="1928" spans="1:5" x14ac:dyDescent="0.25">
      <c r="A1928" s="4">
        <v>41994.899097222224</v>
      </c>
      <c r="B1928" s="2" t="s">
        <v>1216</v>
      </c>
      <c r="C1928" s="2" t="s">
        <v>63</v>
      </c>
      <c r="D1928" s="2" t="str">
        <f>"9781400842834"</f>
        <v>9781400842834</v>
      </c>
      <c r="E1928" s="2">
        <v>816128</v>
      </c>
    </row>
    <row r="1929" spans="1:5" x14ac:dyDescent="0.25">
      <c r="A1929" s="4">
        <v>41994.884976851848</v>
      </c>
      <c r="B1929" s="2" t="s">
        <v>2143</v>
      </c>
      <c r="C1929" s="2" t="s">
        <v>18</v>
      </c>
      <c r="D1929" s="2" t="str">
        <f>"9781847882233"</f>
        <v>9781847882233</v>
      </c>
      <c r="E1929" s="2">
        <v>487168</v>
      </c>
    </row>
    <row r="1930" spans="1:5" x14ac:dyDescent="0.25">
      <c r="A1930" s="4">
        <v>41994.899085648147</v>
      </c>
      <c r="B1930" s="2" t="s">
        <v>1278</v>
      </c>
      <c r="C1930" s="2" t="s">
        <v>63</v>
      </c>
      <c r="D1930" s="2" t="str">
        <f>"9781400840229"</f>
        <v>9781400840229</v>
      </c>
      <c r="E1930" s="2">
        <v>744108</v>
      </c>
    </row>
    <row r="1931" spans="1:5" x14ac:dyDescent="0.25">
      <c r="A1931" s="4">
        <v>41923.4530787037</v>
      </c>
      <c r="B1931" s="2" t="s">
        <v>3309</v>
      </c>
      <c r="C1931" s="2" t="s">
        <v>63</v>
      </c>
      <c r="D1931" s="2" t="str">
        <f>"9781400840779"</f>
        <v>9781400840779</v>
      </c>
      <c r="E1931" s="2">
        <v>713590</v>
      </c>
    </row>
    <row r="1932" spans="1:5" x14ac:dyDescent="0.25">
      <c r="A1932" s="4">
        <v>41994.885011574072</v>
      </c>
      <c r="B1932" s="2" t="s">
        <v>2078</v>
      </c>
      <c r="C1932" s="2" t="s">
        <v>18</v>
      </c>
      <c r="D1932" s="2" t="str">
        <f>"9781441144188"</f>
        <v>9781441144188</v>
      </c>
      <c r="E1932" s="2">
        <v>766079</v>
      </c>
    </row>
    <row r="1933" spans="1:5" x14ac:dyDescent="0.25">
      <c r="A1933" s="4">
        <v>41994.896111111113</v>
      </c>
      <c r="B1933" s="2" t="s">
        <v>1568</v>
      </c>
      <c r="C1933" s="2" t="s">
        <v>28</v>
      </c>
      <c r="D1933" s="2" t="str">
        <f>"9780253004451"</f>
        <v>9780253004451</v>
      </c>
      <c r="E1933" s="2">
        <v>613594</v>
      </c>
    </row>
    <row r="1934" spans="1:5" x14ac:dyDescent="0.25">
      <c r="A1934" s="4">
        <v>41914.587175925924</v>
      </c>
      <c r="B1934" s="2" t="s">
        <v>3514</v>
      </c>
      <c r="C1934" s="2" t="s">
        <v>26</v>
      </c>
      <c r="D1934" s="2" t="str">
        <f>"9780470120361"</f>
        <v>9780470120361</v>
      </c>
      <c r="E1934" s="2">
        <v>281881</v>
      </c>
    </row>
    <row r="1935" spans="1:5" x14ac:dyDescent="0.25">
      <c r="A1935" s="4">
        <v>41994.885057870371</v>
      </c>
      <c r="B1935" s="2" t="s">
        <v>1955</v>
      </c>
      <c r="C1935" s="2" t="s">
        <v>1934</v>
      </c>
      <c r="D1935" s="2" t="str">
        <f>"9781628925159"</f>
        <v>9781628925159</v>
      </c>
      <c r="E1935" s="2">
        <v>1675044</v>
      </c>
    </row>
    <row r="1936" spans="1:5" x14ac:dyDescent="0.25">
      <c r="A1936" s="4">
        <v>41994.901967592596</v>
      </c>
      <c r="B1936" s="2" t="s">
        <v>831</v>
      </c>
      <c r="C1936" s="2" t="s">
        <v>119</v>
      </c>
      <c r="D1936" s="2" t="str">
        <f>"9780520943391"</f>
        <v>9780520943391</v>
      </c>
      <c r="E1936" s="2">
        <v>834869</v>
      </c>
    </row>
    <row r="1937" spans="1:5" x14ac:dyDescent="0.25">
      <c r="A1937" s="4">
        <v>41906.681979166664</v>
      </c>
      <c r="B1937" s="2" t="s">
        <v>3705</v>
      </c>
      <c r="C1937" s="2" t="s">
        <v>16</v>
      </c>
      <c r="D1937" s="2" t="str">
        <f>"9781462510238"</f>
        <v>9781462510238</v>
      </c>
      <c r="E1937" s="2">
        <v>1137447</v>
      </c>
    </row>
    <row r="1938" spans="1:5" x14ac:dyDescent="0.25">
      <c r="A1938" s="4">
        <v>41977.534386574072</v>
      </c>
      <c r="B1938" s="2" t="s">
        <v>2610</v>
      </c>
      <c r="C1938" s="2" t="s">
        <v>18</v>
      </c>
      <c r="D1938" s="2" t="str">
        <f>"9781472519955"</f>
        <v>9781472519955</v>
      </c>
      <c r="E1938" s="2">
        <v>1394904</v>
      </c>
    </row>
    <row r="1939" spans="1:5" x14ac:dyDescent="0.25">
      <c r="A1939" s="4">
        <v>41994.885057870371</v>
      </c>
      <c r="B1939" s="2" t="s">
        <v>1953</v>
      </c>
      <c r="C1939" s="2" t="s">
        <v>18</v>
      </c>
      <c r="D1939" s="2" t="str">
        <f>"9781472533999"</f>
        <v>9781472533999</v>
      </c>
      <c r="E1939" s="2">
        <v>1683528</v>
      </c>
    </row>
    <row r="1940" spans="1:5" x14ac:dyDescent="0.25">
      <c r="A1940" s="4">
        <v>41994.89912037037</v>
      </c>
      <c r="B1940" s="2" t="s">
        <v>1180</v>
      </c>
      <c r="C1940" s="2" t="s">
        <v>63</v>
      </c>
      <c r="D1940" s="2" t="str">
        <f>"9781400846276"</f>
        <v>9781400846276</v>
      </c>
      <c r="E1940" s="2">
        <v>1114885</v>
      </c>
    </row>
    <row r="1941" spans="1:5" x14ac:dyDescent="0.25">
      <c r="A1941" s="4">
        <v>41929.567175925928</v>
      </c>
      <c r="B1941" s="2" t="s">
        <v>3172</v>
      </c>
      <c r="C1941" s="2" t="s">
        <v>119</v>
      </c>
      <c r="D1941" s="2" t="str">
        <f>"9780520935426"</f>
        <v>9780520935426</v>
      </c>
      <c r="E1941" s="2">
        <v>945029</v>
      </c>
    </row>
    <row r="1942" spans="1:5" x14ac:dyDescent="0.25">
      <c r="A1942" s="4">
        <v>41913.357175925928</v>
      </c>
      <c r="B1942" s="2" t="s">
        <v>3545</v>
      </c>
      <c r="C1942" s="2" t="s">
        <v>119</v>
      </c>
      <c r="D1942" s="2" t="str">
        <f>"9780520936270"</f>
        <v>9780520936270</v>
      </c>
      <c r="E1942" s="2">
        <v>223354</v>
      </c>
    </row>
    <row r="1943" spans="1:5" x14ac:dyDescent="0.25">
      <c r="A1943" s="4">
        <v>41994.899097222224</v>
      </c>
      <c r="B1943" s="2" t="s">
        <v>1273</v>
      </c>
      <c r="C1943" s="2" t="s">
        <v>63</v>
      </c>
      <c r="D1943" s="2" t="str">
        <f>"9781400839537"</f>
        <v>9781400839537</v>
      </c>
      <c r="E1943" s="2">
        <v>768538</v>
      </c>
    </row>
    <row r="1944" spans="1:5" x14ac:dyDescent="0.25">
      <c r="A1944" s="4">
        <v>41994.908171296294</v>
      </c>
      <c r="B1944" s="2" t="s">
        <v>370</v>
      </c>
      <c r="C1944" s="2" t="s">
        <v>26</v>
      </c>
      <c r="D1944" s="2" t="str">
        <f>"9780470775141"</f>
        <v>9780470775141</v>
      </c>
      <c r="E1944" s="2">
        <v>351253</v>
      </c>
    </row>
    <row r="1945" spans="1:5" x14ac:dyDescent="0.25">
      <c r="A1945" s="4">
        <v>41994.901990740742</v>
      </c>
      <c r="B1945" s="2" t="s">
        <v>750</v>
      </c>
      <c r="C1945" s="2" t="s">
        <v>119</v>
      </c>
      <c r="D1945" s="2" t="str">
        <f>"9780520953741"</f>
        <v>9780520953741</v>
      </c>
      <c r="E1945" s="2">
        <v>996186</v>
      </c>
    </row>
    <row r="1946" spans="1:5" x14ac:dyDescent="0.25">
      <c r="A1946" s="4">
        <v>41921.419282407405</v>
      </c>
      <c r="B1946" s="2" t="s">
        <v>3347</v>
      </c>
      <c r="C1946" s="2" t="s">
        <v>28</v>
      </c>
      <c r="D1946" s="2" t="str">
        <f>"9780253004819"</f>
        <v>9780253004819</v>
      </c>
      <c r="E1946" s="2">
        <v>613604</v>
      </c>
    </row>
    <row r="1947" spans="1:5" x14ac:dyDescent="0.25">
      <c r="A1947" s="4">
        <v>41994.885057870371</v>
      </c>
      <c r="B1947" s="2" t="s">
        <v>1944</v>
      </c>
      <c r="C1947" s="2" t="s">
        <v>18</v>
      </c>
      <c r="D1947" s="2" t="str">
        <f>"9781472576385"</f>
        <v>9781472576385</v>
      </c>
      <c r="E1947" s="2">
        <v>1718199</v>
      </c>
    </row>
    <row r="1948" spans="1:5" x14ac:dyDescent="0.25">
      <c r="A1948" s="4">
        <v>41994.902013888888</v>
      </c>
      <c r="B1948" s="2" t="s">
        <v>661</v>
      </c>
      <c r="C1948" s="2" t="s">
        <v>119</v>
      </c>
      <c r="D1948" s="2" t="str">
        <f>"9780520958500"</f>
        <v>9780520958500</v>
      </c>
      <c r="E1948" s="2">
        <v>1683287</v>
      </c>
    </row>
    <row r="1949" spans="1:5" x14ac:dyDescent="0.25">
      <c r="A1949" s="4">
        <v>41856.975810185184</v>
      </c>
      <c r="B1949" s="2" t="s">
        <v>3964</v>
      </c>
      <c r="C1949" s="2" t="s">
        <v>26</v>
      </c>
      <c r="D1949" s="2" t="str">
        <f>"9780471437888"</f>
        <v>9780471437888</v>
      </c>
      <c r="E1949" s="2">
        <v>117543</v>
      </c>
    </row>
    <row r="1950" spans="1:5" x14ac:dyDescent="0.25">
      <c r="A1950" s="4">
        <v>41984.29550925926</v>
      </c>
      <c r="B1950" s="2" t="s">
        <v>2376</v>
      </c>
      <c r="C1950" s="2" t="s">
        <v>18</v>
      </c>
      <c r="D1950" s="2" t="str">
        <f>"9781441164681"</f>
        <v>9781441164681</v>
      </c>
      <c r="E1950" s="2">
        <v>601541</v>
      </c>
    </row>
    <row r="1951" spans="1:5" x14ac:dyDescent="0.25">
      <c r="A1951" s="4">
        <v>41994.901979166665</v>
      </c>
      <c r="B1951" s="2" t="s">
        <v>786</v>
      </c>
      <c r="C1951" s="2" t="s">
        <v>119</v>
      </c>
      <c r="D1951" s="2" t="str">
        <f>"9780520951563"</f>
        <v>9780520951563</v>
      </c>
      <c r="E1951" s="2">
        <v>877902</v>
      </c>
    </row>
    <row r="1952" spans="1:5" x14ac:dyDescent="0.25">
      <c r="A1952" s="4">
        <v>41994.905590277776</v>
      </c>
      <c r="B1952" s="2" t="s">
        <v>573</v>
      </c>
      <c r="C1952" s="2" t="s">
        <v>96</v>
      </c>
      <c r="D1952" s="2" t="str">
        <f>"9780807878118"</f>
        <v>9780807878118</v>
      </c>
      <c r="E1952" s="2">
        <v>655822</v>
      </c>
    </row>
    <row r="1953" spans="1:5" x14ac:dyDescent="0.25">
      <c r="A1953" s="4">
        <v>41976.203310185185</v>
      </c>
      <c r="B1953" s="2" t="s">
        <v>2726</v>
      </c>
      <c r="C1953" s="2" t="s">
        <v>26</v>
      </c>
      <c r="D1953" s="2" t="str">
        <f>"9780470391587"</f>
        <v>9780470391587</v>
      </c>
      <c r="E1953" s="2">
        <v>362091</v>
      </c>
    </row>
    <row r="1954" spans="1:5" x14ac:dyDescent="0.25">
      <c r="A1954" s="4">
        <v>41994.902002314811</v>
      </c>
      <c r="B1954" s="2" t="s">
        <v>693</v>
      </c>
      <c r="C1954" s="2" t="s">
        <v>119</v>
      </c>
      <c r="D1954" s="2" t="str">
        <f>"9780520956629"</f>
        <v>9780520956629</v>
      </c>
      <c r="E1954" s="2">
        <v>1375716</v>
      </c>
    </row>
    <row r="1955" spans="1:5" x14ac:dyDescent="0.25">
      <c r="A1955" s="4">
        <v>41994.885034722225</v>
      </c>
      <c r="B1955" s="2" t="s">
        <v>2019</v>
      </c>
      <c r="C1955" s="2" t="s">
        <v>18</v>
      </c>
      <c r="D1955" s="2" t="str">
        <f>"9781472517401"</f>
        <v>9781472517401</v>
      </c>
      <c r="E1955" s="2">
        <v>1190706</v>
      </c>
    </row>
    <row r="1956" spans="1:5" x14ac:dyDescent="0.25">
      <c r="A1956" s="4">
        <v>41994.885046296295</v>
      </c>
      <c r="B1956" s="2" t="s">
        <v>1965</v>
      </c>
      <c r="C1956" s="2" t="s">
        <v>18</v>
      </c>
      <c r="D1956" s="2" t="str">
        <f>"9781472503213"</f>
        <v>9781472503213</v>
      </c>
      <c r="E1956" s="2">
        <v>1609888</v>
      </c>
    </row>
    <row r="1957" spans="1:5" x14ac:dyDescent="0.25">
      <c r="A1957" s="4">
        <v>41977.961157407408</v>
      </c>
      <c r="B1957" s="2" t="s">
        <v>2583</v>
      </c>
      <c r="C1957" s="2" t="s">
        <v>63</v>
      </c>
      <c r="D1957" s="2" t="str">
        <f>"9781400835034"</f>
        <v>9781400835034</v>
      </c>
      <c r="E1957" s="2">
        <v>540268</v>
      </c>
    </row>
    <row r="1958" spans="1:5" x14ac:dyDescent="0.25">
      <c r="A1958" s="4">
        <v>41974.494884259257</v>
      </c>
      <c r="B1958" s="2" t="s">
        <v>2975</v>
      </c>
      <c r="C1958" s="2" t="s">
        <v>160</v>
      </c>
      <c r="D1958" s="2" t="str">
        <f>"9780822071730"</f>
        <v>9780822071730</v>
      </c>
      <c r="E1958" s="2">
        <v>130122</v>
      </c>
    </row>
    <row r="1959" spans="1:5" x14ac:dyDescent="0.25">
      <c r="A1959" s="4">
        <v>41994.899074074077</v>
      </c>
      <c r="B1959" s="2" t="s">
        <v>1320</v>
      </c>
      <c r="C1959" s="2" t="s">
        <v>63</v>
      </c>
      <c r="D1959" s="2" t="str">
        <f>"9781400836727"</f>
        <v>9781400836727</v>
      </c>
      <c r="E1959" s="2">
        <v>664616</v>
      </c>
    </row>
    <row r="1960" spans="1:5" x14ac:dyDescent="0.25">
      <c r="A1960" s="4">
        <v>41994.899097222224</v>
      </c>
      <c r="B1960" s="2" t="s">
        <v>1274</v>
      </c>
      <c r="C1960" s="2" t="s">
        <v>63</v>
      </c>
      <c r="D1960" s="2" t="str">
        <f>"9781400839384"</f>
        <v>9781400839384</v>
      </c>
      <c r="E1960" s="2">
        <v>768537</v>
      </c>
    </row>
    <row r="1961" spans="1:5" x14ac:dyDescent="0.25">
      <c r="A1961" s="4">
        <v>41994.885000000002</v>
      </c>
      <c r="B1961" s="2" t="s">
        <v>2108</v>
      </c>
      <c r="C1961" s="2" t="s">
        <v>18</v>
      </c>
      <c r="D1961" s="2" t="str">
        <f>"9781441102966"</f>
        <v>9781441102966</v>
      </c>
      <c r="E1961" s="2">
        <v>634559</v>
      </c>
    </row>
    <row r="1962" spans="1:5" x14ac:dyDescent="0.25">
      <c r="A1962" s="4">
        <v>41994.902025462965</v>
      </c>
      <c r="B1962" s="2" t="s">
        <v>638</v>
      </c>
      <c r="C1962" s="2" t="s">
        <v>119</v>
      </c>
      <c r="D1962" s="2" t="str">
        <f>"9780520959170"</f>
        <v>9780520959170</v>
      </c>
      <c r="E1962" s="2">
        <v>1711040</v>
      </c>
    </row>
    <row r="1963" spans="1:5" x14ac:dyDescent="0.25">
      <c r="A1963" s="4">
        <v>41984.627430555556</v>
      </c>
      <c r="B1963" s="2" t="s">
        <v>2361</v>
      </c>
      <c r="C1963" s="2" t="s">
        <v>2283</v>
      </c>
      <c r="D1963" s="2" t="str">
        <f>"9789027282897"</f>
        <v>9789027282897</v>
      </c>
      <c r="E1963" s="2">
        <v>740283</v>
      </c>
    </row>
    <row r="1964" spans="1:5" x14ac:dyDescent="0.25">
      <c r="A1964" s="4">
        <v>41977.589189814818</v>
      </c>
      <c r="B1964" s="2" t="s">
        <v>2605</v>
      </c>
      <c r="C1964" s="2" t="s">
        <v>26</v>
      </c>
      <c r="D1964" s="2" t="str">
        <f>"9781118172513"</f>
        <v>9781118172513</v>
      </c>
      <c r="E1964" s="2">
        <v>817451</v>
      </c>
    </row>
    <row r="1965" spans="1:5" x14ac:dyDescent="0.25">
      <c r="A1965" s="4">
        <v>41903.543171296296</v>
      </c>
      <c r="B1965" s="2" t="s">
        <v>3796</v>
      </c>
      <c r="C1965" s="2" t="s">
        <v>424</v>
      </c>
      <c r="D1965" s="2" t="str">
        <f>"9780807895832"</f>
        <v>9780807895832</v>
      </c>
      <c r="E1965" s="2">
        <v>565697</v>
      </c>
    </row>
    <row r="1966" spans="1:5" x14ac:dyDescent="0.25">
      <c r="A1966" s="4">
        <v>41994.892928240741</v>
      </c>
      <c r="B1966" s="2" t="s">
        <v>1698</v>
      </c>
      <c r="C1966" s="2" t="s">
        <v>16</v>
      </c>
      <c r="D1966" s="2" t="str">
        <f>"9781462502493"</f>
        <v>9781462502493</v>
      </c>
      <c r="E1966" s="2">
        <v>829310</v>
      </c>
    </row>
    <row r="1967" spans="1:5" x14ac:dyDescent="0.25">
      <c r="A1967" s="4">
        <v>41975.832337962966</v>
      </c>
      <c r="B1967" s="2" t="s">
        <v>2775</v>
      </c>
      <c r="C1967" s="2" t="s">
        <v>26</v>
      </c>
      <c r="D1967" s="2" t="str">
        <f>"9781444328141"</f>
        <v>9781444328141</v>
      </c>
      <c r="E1967" s="2">
        <v>589180</v>
      </c>
    </row>
    <row r="1968" spans="1:5" x14ac:dyDescent="0.25">
      <c r="A1968" s="4">
        <v>41994.901956018519</v>
      </c>
      <c r="B1968" s="2" t="s">
        <v>860</v>
      </c>
      <c r="C1968" s="2" t="s">
        <v>119</v>
      </c>
      <c r="D1968" s="2" t="str">
        <f>"9780520950559"</f>
        <v>9780520950559</v>
      </c>
      <c r="E1968" s="2">
        <v>718662</v>
      </c>
    </row>
    <row r="1969" spans="1:5" x14ac:dyDescent="0.25">
      <c r="A1969" s="4">
        <v>41975.641759259262</v>
      </c>
      <c r="B1969" s="2" t="s">
        <v>2813</v>
      </c>
      <c r="C1969" s="2" t="s">
        <v>63</v>
      </c>
      <c r="D1969" s="2" t="str">
        <f>"9781400833153"</f>
        <v>9781400833153</v>
      </c>
      <c r="E1969" s="2">
        <v>483556</v>
      </c>
    </row>
    <row r="1970" spans="1:5" x14ac:dyDescent="0.25">
      <c r="A1970" s="4">
        <v>41905.972812499997</v>
      </c>
      <c r="B1970" s="2" t="s">
        <v>3722</v>
      </c>
      <c r="C1970" s="2" t="s">
        <v>7</v>
      </c>
      <c r="D1970" s="2" t="str">
        <f>"9781483302133"</f>
        <v>9781483302133</v>
      </c>
      <c r="E1970" s="2">
        <v>1160199</v>
      </c>
    </row>
    <row r="1971" spans="1:5" x14ac:dyDescent="0.25">
      <c r="A1971" s="4">
        <v>41994.899050925924</v>
      </c>
      <c r="B1971" s="2" t="s">
        <v>1398</v>
      </c>
      <c r="C1971" s="2" t="s">
        <v>63</v>
      </c>
      <c r="D1971" s="2" t="str">
        <f>"9781400820740"</f>
        <v>9781400820740</v>
      </c>
      <c r="E1971" s="2">
        <v>475839</v>
      </c>
    </row>
    <row r="1972" spans="1:5" x14ac:dyDescent="0.25">
      <c r="A1972" s="4">
        <v>41977.464560185188</v>
      </c>
      <c r="B1972" s="2" t="s">
        <v>2613</v>
      </c>
      <c r="C1972" s="2" t="s">
        <v>7</v>
      </c>
      <c r="D1972" s="2" t="str">
        <f>"9781452224640"</f>
        <v>9781452224640</v>
      </c>
      <c r="E1972" s="2">
        <v>1598329</v>
      </c>
    </row>
    <row r="1973" spans="1:5" x14ac:dyDescent="0.25">
      <c r="A1973" s="4">
        <v>41994.905624999999</v>
      </c>
      <c r="B1973" s="2" t="s">
        <v>451</v>
      </c>
      <c r="C1973" s="2" t="s">
        <v>96</v>
      </c>
      <c r="D1973" s="2" t="str">
        <f>"9781469611792"</f>
        <v>9781469611792</v>
      </c>
      <c r="E1973" s="2">
        <v>1663510</v>
      </c>
    </row>
    <row r="1974" spans="1:5" x14ac:dyDescent="0.25">
      <c r="A1974" s="4">
        <v>41865.47011574074</v>
      </c>
      <c r="B1974" s="2" t="s">
        <v>3955</v>
      </c>
      <c r="C1974" s="2" t="s">
        <v>2404</v>
      </c>
      <c r="D1974" s="2" t="str">
        <f>"9780335246359"</f>
        <v>9780335246359</v>
      </c>
      <c r="E1974" s="2">
        <v>990486</v>
      </c>
    </row>
    <row r="1975" spans="1:5" x14ac:dyDescent="0.25">
      <c r="A1975" s="4">
        <v>41919.391342592593</v>
      </c>
      <c r="B1975" s="2" t="s">
        <v>3405</v>
      </c>
      <c r="C1975" s="2" t="s">
        <v>63</v>
      </c>
      <c r="D1975" s="2" t="str">
        <f>"9781400824953"</f>
        <v>9781400824953</v>
      </c>
      <c r="E1975" s="2">
        <v>445571</v>
      </c>
    </row>
    <row r="1976" spans="1:5" x14ac:dyDescent="0.25">
      <c r="A1976" s="4">
        <v>41978.61959490741</v>
      </c>
      <c r="B1976" s="2" t="s">
        <v>2565</v>
      </c>
      <c r="C1976" s="2" t="s">
        <v>424</v>
      </c>
      <c r="D1976" s="2" t="str">
        <f>"9780807877265"</f>
        <v>9780807877265</v>
      </c>
      <c r="E1976" s="2">
        <v>880414</v>
      </c>
    </row>
    <row r="1977" spans="1:5" x14ac:dyDescent="0.25">
      <c r="A1977" s="4">
        <v>41994.89912037037</v>
      </c>
      <c r="B1977" s="2" t="s">
        <v>1192</v>
      </c>
      <c r="C1977" s="2" t="s">
        <v>63</v>
      </c>
      <c r="D1977" s="2" t="str">
        <f>"9781400846283"</f>
        <v>9781400846283</v>
      </c>
      <c r="E1977" s="2">
        <v>1105283</v>
      </c>
    </row>
    <row r="1978" spans="1:5" x14ac:dyDescent="0.25">
      <c r="A1978" s="4">
        <v>41932.489039351851</v>
      </c>
      <c r="B1978" s="2" t="s">
        <v>3120</v>
      </c>
      <c r="C1978" s="2" t="s">
        <v>26</v>
      </c>
      <c r="D1978" s="2" t="str">
        <f>"9781907293450"</f>
        <v>9781907293450</v>
      </c>
      <c r="E1978" s="2">
        <v>564951</v>
      </c>
    </row>
    <row r="1979" spans="1:5" x14ac:dyDescent="0.25">
      <c r="A1979" s="4">
        <v>41975.748449074075</v>
      </c>
      <c r="B1979" s="2" t="s">
        <v>2793</v>
      </c>
      <c r="C1979" s="2" t="s">
        <v>26</v>
      </c>
      <c r="D1979" s="2" t="str">
        <f>"9781444391466"</f>
        <v>9781444391466</v>
      </c>
      <c r="E1979" s="2">
        <v>819338</v>
      </c>
    </row>
    <row r="1980" spans="1:5" x14ac:dyDescent="0.25">
      <c r="A1980" s="4">
        <v>41863.638645833336</v>
      </c>
      <c r="B1980" s="2" t="s">
        <v>3956</v>
      </c>
      <c r="C1980" s="2" t="s">
        <v>3957</v>
      </c>
      <c r="D1980" s="2" t="str">
        <f>"9781847877963"</f>
        <v>9781847877963</v>
      </c>
      <c r="E1980" s="2">
        <v>334459</v>
      </c>
    </row>
    <row r="1981" spans="1:5" x14ac:dyDescent="0.25">
      <c r="A1981" s="4">
        <v>41994.892916666664</v>
      </c>
      <c r="B1981" s="2" t="s">
        <v>1715</v>
      </c>
      <c r="C1981" s="2" t="s">
        <v>16</v>
      </c>
      <c r="D1981" s="2" t="str">
        <f>"9781462501052"</f>
        <v>9781462501052</v>
      </c>
      <c r="E1981" s="2">
        <v>684294</v>
      </c>
    </row>
    <row r="1982" spans="1:5" x14ac:dyDescent="0.25">
      <c r="A1982" s="4">
        <v>41974.730196759258</v>
      </c>
      <c r="B1982" s="2" t="s">
        <v>2923</v>
      </c>
      <c r="C1982" s="2" t="s">
        <v>96</v>
      </c>
      <c r="D1982" s="2" t="str">
        <f>"9780807889824"</f>
        <v>9780807889824</v>
      </c>
      <c r="E1982" s="2">
        <v>454807</v>
      </c>
    </row>
    <row r="1983" spans="1:5" x14ac:dyDescent="0.25">
      <c r="A1983" s="4">
        <v>41994.896168981482</v>
      </c>
      <c r="B1983" s="2" t="s">
        <v>1454</v>
      </c>
      <c r="C1983" s="2" t="s">
        <v>28</v>
      </c>
      <c r="D1983" s="2" t="str">
        <f>"9780253011497"</f>
        <v>9780253011497</v>
      </c>
      <c r="E1983" s="2">
        <v>1584789</v>
      </c>
    </row>
    <row r="1984" spans="1:5" x14ac:dyDescent="0.25">
      <c r="A1984" s="4">
        <v>41975.427685185183</v>
      </c>
      <c r="B1984" s="2" t="s">
        <v>2853</v>
      </c>
      <c r="C1984" s="2" t="s">
        <v>2170</v>
      </c>
      <c r="D1984" s="2" t="str">
        <f>"9781848133600"</f>
        <v>9781848133600</v>
      </c>
      <c r="E1984" s="2">
        <v>411116</v>
      </c>
    </row>
    <row r="1985" spans="1:5" x14ac:dyDescent="0.25">
      <c r="A1985" s="4">
        <v>41933.839421296296</v>
      </c>
      <c r="B1985" s="2" t="s">
        <v>3077</v>
      </c>
      <c r="C1985" s="2" t="s">
        <v>26</v>
      </c>
      <c r="D1985" s="2" t="str">
        <f>"9781118015681"</f>
        <v>9781118015681</v>
      </c>
      <c r="E1985" s="2">
        <v>661483</v>
      </c>
    </row>
    <row r="1986" spans="1:5" x14ac:dyDescent="0.25">
      <c r="A1986" s="4">
        <v>41975.490995370368</v>
      </c>
      <c r="B1986" s="2" t="s">
        <v>2839</v>
      </c>
      <c r="C1986" s="2" t="s">
        <v>5</v>
      </c>
      <c r="D1986" s="2" t="str">
        <f>"9780857003423"</f>
        <v>9780857003423</v>
      </c>
      <c r="E1986" s="2">
        <v>809673</v>
      </c>
    </row>
    <row r="1987" spans="1:5" x14ac:dyDescent="0.25">
      <c r="A1987" s="4">
        <v>41988.70553240741</v>
      </c>
      <c r="B1987" s="2" t="s">
        <v>2273</v>
      </c>
      <c r="C1987" s="2" t="s">
        <v>119</v>
      </c>
      <c r="D1987" s="2" t="str">
        <f>"9780520928572"</f>
        <v>9780520928572</v>
      </c>
      <c r="E1987" s="2">
        <v>223322</v>
      </c>
    </row>
    <row r="1988" spans="1:5" x14ac:dyDescent="0.25">
      <c r="A1988" s="4">
        <v>41983.404085648152</v>
      </c>
      <c r="B1988" s="2" t="s">
        <v>2413</v>
      </c>
      <c r="C1988" s="2" t="s">
        <v>26</v>
      </c>
      <c r="D1988" s="2" t="str">
        <f>"9781118015018"</f>
        <v>9781118015018</v>
      </c>
      <c r="E1988" s="2">
        <v>706891</v>
      </c>
    </row>
    <row r="1989" spans="1:5" x14ac:dyDescent="0.25">
      <c r="A1989" s="4">
        <v>41994.899074074077</v>
      </c>
      <c r="B1989" s="2" t="s">
        <v>1316</v>
      </c>
      <c r="C1989" s="2" t="s">
        <v>63</v>
      </c>
      <c r="D1989" s="2" t="str">
        <f>"9781400838820"</f>
        <v>9781400838820</v>
      </c>
      <c r="E1989" s="2">
        <v>664634</v>
      </c>
    </row>
    <row r="1990" spans="1:5" x14ac:dyDescent="0.25">
      <c r="A1990" s="4">
        <v>41906.089363425926</v>
      </c>
      <c r="B1990" s="2" t="s">
        <v>3719</v>
      </c>
      <c r="C1990" s="2" t="s">
        <v>63</v>
      </c>
      <c r="D1990" s="2" t="str">
        <f>"9781400846290"</f>
        <v>9781400846290</v>
      </c>
      <c r="E1990" s="2">
        <v>1084828</v>
      </c>
    </row>
    <row r="1991" spans="1:5" x14ac:dyDescent="0.25">
      <c r="A1991" s="4">
        <v>41932.811284722222</v>
      </c>
      <c r="B1991" s="2" t="s">
        <v>3110</v>
      </c>
      <c r="C1991" s="2" t="s">
        <v>119</v>
      </c>
      <c r="D1991" s="2" t="str">
        <f>"9780520956827"</f>
        <v>9780520956827</v>
      </c>
      <c r="E1991" s="2">
        <v>1323166</v>
      </c>
    </row>
    <row r="1992" spans="1:5" x14ac:dyDescent="0.25">
      <c r="A1992" s="4">
        <v>41994.902013888888</v>
      </c>
      <c r="B1992" s="2" t="s">
        <v>672</v>
      </c>
      <c r="C1992" s="2" t="s">
        <v>119</v>
      </c>
      <c r="D1992" s="2" t="str">
        <f>"9780520933712"</f>
        <v>9780520933712</v>
      </c>
      <c r="E1992" s="2">
        <v>1632837</v>
      </c>
    </row>
    <row r="1993" spans="1:5" x14ac:dyDescent="0.25">
      <c r="A1993" s="4">
        <v>41983.685601851852</v>
      </c>
      <c r="B1993" s="2" t="s">
        <v>2400</v>
      </c>
      <c r="C1993" s="2" t="s">
        <v>160</v>
      </c>
      <c r="D1993" s="2" t="str">
        <f>"9781119991793"</f>
        <v>9781119991793</v>
      </c>
      <c r="E1993" s="2">
        <v>675175</v>
      </c>
    </row>
    <row r="1994" spans="1:5" x14ac:dyDescent="0.25">
      <c r="A1994" s="4">
        <v>43165.337638888886</v>
      </c>
      <c r="B1994" s="2" t="s">
        <v>82</v>
      </c>
      <c r="C1994" s="2" t="s">
        <v>36</v>
      </c>
      <c r="D1994" s="2" t="str">
        <f>"9781476627274"</f>
        <v>9781476627274</v>
      </c>
      <c r="E1994" s="2">
        <v>4817867</v>
      </c>
    </row>
    <row r="1995" spans="1:5" x14ac:dyDescent="0.25">
      <c r="A1995" s="4">
        <v>41994.892916666664</v>
      </c>
      <c r="B1995" s="2" t="s">
        <v>1733</v>
      </c>
      <c r="C1995" s="2" t="s">
        <v>16</v>
      </c>
      <c r="D1995" s="2" t="str">
        <f>"9781606239537"</f>
        <v>9781606239537</v>
      </c>
      <c r="E1995" s="2">
        <v>593772</v>
      </c>
    </row>
    <row r="1996" spans="1:5" x14ac:dyDescent="0.25">
      <c r="A1996" s="4">
        <v>41976.753125000003</v>
      </c>
      <c r="B1996" s="2" t="s">
        <v>2637</v>
      </c>
      <c r="C1996" s="2" t="s">
        <v>7</v>
      </c>
      <c r="D1996" s="2" t="str">
        <f>"9781452266756"</f>
        <v>9781452266756</v>
      </c>
      <c r="E1996" s="2">
        <v>996801</v>
      </c>
    </row>
    <row r="1997" spans="1:5" x14ac:dyDescent="0.25">
      <c r="A1997" s="4">
        <v>41935.548067129632</v>
      </c>
      <c r="B1997" s="2" t="s">
        <v>3030</v>
      </c>
      <c r="C1997" s="2" t="s">
        <v>26</v>
      </c>
      <c r="D1997" s="2" t="str">
        <f>"9781118038543"</f>
        <v>9781118038543</v>
      </c>
      <c r="E1997" s="2">
        <v>693237</v>
      </c>
    </row>
    <row r="1998" spans="1:5" x14ac:dyDescent="0.25">
      <c r="A1998" s="4">
        <v>41979.733032407406</v>
      </c>
      <c r="B1998" s="2" t="s">
        <v>2534</v>
      </c>
      <c r="C1998" s="2" t="s">
        <v>26</v>
      </c>
      <c r="D1998" s="2" t="str">
        <f>"9780470606711"</f>
        <v>9780470606711</v>
      </c>
      <c r="E1998" s="2">
        <v>487630</v>
      </c>
    </row>
    <row r="1999" spans="1:5" x14ac:dyDescent="0.25">
      <c r="A1999" s="4">
        <v>41994.884988425925</v>
      </c>
      <c r="B1999" s="2" t="s">
        <v>2125</v>
      </c>
      <c r="C1999" s="2" t="s">
        <v>74</v>
      </c>
      <c r="D1999" s="2" t="str">
        <f>"9781441107879"</f>
        <v>9781441107879</v>
      </c>
      <c r="E1999" s="2">
        <v>601796</v>
      </c>
    </row>
    <row r="2000" spans="1:5" x14ac:dyDescent="0.25">
      <c r="A2000" s="4">
        <v>41994.899108796293</v>
      </c>
      <c r="B2000" s="2" t="s">
        <v>1228</v>
      </c>
      <c r="C2000" s="2" t="s">
        <v>63</v>
      </c>
      <c r="D2000" s="2" t="str">
        <f>"9781400842254"</f>
        <v>9781400842254</v>
      </c>
      <c r="E2000" s="2">
        <v>902503</v>
      </c>
    </row>
    <row r="2001" spans="1:5" x14ac:dyDescent="0.25">
      <c r="A2001" s="4">
        <v>41994.901956018519</v>
      </c>
      <c r="B2001" s="2" t="s">
        <v>878</v>
      </c>
      <c r="C2001" s="2" t="s">
        <v>119</v>
      </c>
      <c r="D2001" s="2" t="str">
        <f>"9780520949492"</f>
        <v>9780520949492</v>
      </c>
      <c r="E2001" s="2">
        <v>669816</v>
      </c>
    </row>
    <row r="2002" spans="1:5" x14ac:dyDescent="0.25">
      <c r="A2002" s="4">
        <v>41982.60560185185</v>
      </c>
      <c r="B2002" s="2" t="s">
        <v>2431</v>
      </c>
      <c r="C2002" s="2" t="s">
        <v>96</v>
      </c>
      <c r="D2002" s="2" t="str">
        <f>"9780807898901"</f>
        <v>9780807898901</v>
      </c>
      <c r="E2002" s="2">
        <v>880083</v>
      </c>
    </row>
    <row r="2003" spans="1:5" x14ac:dyDescent="0.25">
      <c r="A2003" s="4">
        <v>43144.394629629627</v>
      </c>
      <c r="B2003" s="2" t="s">
        <v>97</v>
      </c>
      <c r="C2003" s="2" t="s">
        <v>50</v>
      </c>
      <c r="D2003" s="2" t="str">
        <f>"9783960676348"</f>
        <v>9783960676348</v>
      </c>
      <c r="E2003" s="2">
        <v>5150470</v>
      </c>
    </row>
    <row r="2004" spans="1:5" x14ac:dyDescent="0.25">
      <c r="A2004" s="4">
        <v>41900.366932870369</v>
      </c>
      <c r="B2004" s="2" t="s">
        <v>3843</v>
      </c>
      <c r="C2004" s="2" t="s">
        <v>119</v>
      </c>
      <c r="D2004" s="2" t="str">
        <f>"9780520950672"</f>
        <v>9780520950672</v>
      </c>
      <c r="E2004" s="2">
        <v>763988</v>
      </c>
    </row>
    <row r="2005" spans="1:5" x14ac:dyDescent="0.25">
      <c r="A2005" s="4">
        <v>41924.118969907409</v>
      </c>
      <c r="B2005" s="2" t="s">
        <v>3298</v>
      </c>
      <c r="C2005" s="2" t="s">
        <v>1934</v>
      </c>
      <c r="D2005" s="2" t="str">
        <f>"9781408178683"</f>
        <v>9781408178683</v>
      </c>
      <c r="E2005" s="2">
        <v>1123380</v>
      </c>
    </row>
    <row r="2006" spans="1:5" x14ac:dyDescent="0.25">
      <c r="A2006" s="4">
        <v>41994.885011574072</v>
      </c>
      <c r="B2006" s="2" t="s">
        <v>2065</v>
      </c>
      <c r="C2006" s="2" t="s">
        <v>18</v>
      </c>
      <c r="D2006" s="2" t="str">
        <f>"9781441146465"</f>
        <v>9781441146465</v>
      </c>
      <c r="E2006" s="2">
        <v>835775</v>
      </c>
    </row>
    <row r="2007" spans="1:5" x14ac:dyDescent="0.25">
      <c r="A2007" s="4">
        <v>41917.230763888889</v>
      </c>
      <c r="B2007" s="2" t="s">
        <v>3467</v>
      </c>
      <c r="C2007" s="2" t="s">
        <v>7</v>
      </c>
      <c r="D2007" s="2" t="str">
        <f>"9781452246291"</f>
        <v>9781452246291</v>
      </c>
      <c r="E2007" s="2">
        <v>1598477</v>
      </c>
    </row>
    <row r="2008" spans="1:5" x14ac:dyDescent="0.25">
      <c r="A2008" s="4">
        <v>41994.885023148148</v>
      </c>
      <c r="B2008" s="2" t="s">
        <v>2036</v>
      </c>
      <c r="C2008" s="2" t="s">
        <v>1934</v>
      </c>
      <c r="D2008" s="2" t="str">
        <f>"9781441186546"</f>
        <v>9781441186546</v>
      </c>
      <c r="E2008" s="2">
        <v>1118867</v>
      </c>
    </row>
    <row r="2009" spans="1:5" x14ac:dyDescent="0.25">
      <c r="A2009" s="4">
        <v>41994.901967592596</v>
      </c>
      <c r="B2009" s="2" t="s">
        <v>824</v>
      </c>
      <c r="C2009" s="2" t="s">
        <v>119</v>
      </c>
      <c r="D2009" s="2" t="str">
        <f>"9780520945494"</f>
        <v>9780520945494</v>
      </c>
      <c r="E2009" s="2">
        <v>837194</v>
      </c>
    </row>
    <row r="2010" spans="1:5" x14ac:dyDescent="0.25">
      <c r="A2010" s="4">
        <v>41994.901967592596</v>
      </c>
      <c r="B2010" s="2" t="s">
        <v>826</v>
      </c>
      <c r="C2010" s="2" t="s">
        <v>119</v>
      </c>
      <c r="D2010" s="2" t="str">
        <f>"9780520944480"</f>
        <v>9780520944480</v>
      </c>
      <c r="E2010" s="2">
        <v>837165</v>
      </c>
    </row>
    <row r="2011" spans="1:5" x14ac:dyDescent="0.25">
      <c r="A2011" s="4">
        <v>41994.901898148149</v>
      </c>
      <c r="B2011" s="2" t="s">
        <v>1033</v>
      </c>
      <c r="C2011" s="2" t="s">
        <v>119</v>
      </c>
      <c r="D2011" s="2" t="str">
        <f>"9780520931343"</f>
        <v>9780520931343</v>
      </c>
      <c r="E2011" s="2">
        <v>223237</v>
      </c>
    </row>
    <row r="2012" spans="1:5" x14ac:dyDescent="0.25">
      <c r="A2012" s="4">
        <v>41989.451585648145</v>
      </c>
      <c r="B2012" s="2" t="s">
        <v>2261</v>
      </c>
      <c r="C2012" s="2" t="s">
        <v>34</v>
      </c>
      <c r="D2012" s="2" t="str">
        <f>"9780851997018"</f>
        <v>9780851997018</v>
      </c>
      <c r="E2012" s="2">
        <v>294747</v>
      </c>
    </row>
    <row r="2013" spans="1:5" x14ac:dyDescent="0.25">
      <c r="A2013" s="4">
        <v>41900.595891203702</v>
      </c>
      <c r="B2013" s="2" t="s">
        <v>3835</v>
      </c>
      <c r="C2013" s="2" t="s">
        <v>26</v>
      </c>
      <c r="D2013" s="2" t="str">
        <f>"9780471463948"</f>
        <v>9780471463948</v>
      </c>
      <c r="E2013" s="2">
        <v>159855</v>
      </c>
    </row>
    <row r="2014" spans="1:5" x14ac:dyDescent="0.25">
      <c r="A2014" s="4">
        <v>41906.598935185182</v>
      </c>
      <c r="B2014" s="2" t="s">
        <v>3709</v>
      </c>
      <c r="C2014" s="2" t="s">
        <v>36</v>
      </c>
      <c r="D2014" s="2" t="str">
        <f>"9780786489954"</f>
        <v>9780786489954</v>
      </c>
      <c r="E2014" s="2">
        <v>881880</v>
      </c>
    </row>
    <row r="2015" spans="1:5" x14ac:dyDescent="0.25">
      <c r="A2015" s="4">
        <v>41994.908194444448</v>
      </c>
      <c r="B2015" s="2" t="s">
        <v>316</v>
      </c>
      <c r="C2015" s="2" t="s">
        <v>26</v>
      </c>
      <c r="D2015" s="2" t="str">
        <f>"9780470886762"</f>
        <v>9780470886762</v>
      </c>
      <c r="E2015" s="2">
        <v>573828</v>
      </c>
    </row>
    <row r="2016" spans="1:5" x14ac:dyDescent="0.25">
      <c r="A2016" s="4">
        <v>41994.902013888888</v>
      </c>
      <c r="B2016" s="2" t="s">
        <v>666</v>
      </c>
      <c r="C2016" s="2" t="s">
        <v>119</v>
      </c>
      <c r="D2016" s="2" t="str">
        <f>"9780520958524"</f>
        <v>9780520958524</v>
      </c>
      <c r="E2016" s="2">
        <v>1664639</v>
      </c>
    </row>
    <row r="2017" spans="1:5" x14ac:dyDescent="0.25">
      <c r="A2017" s="4">
        <v>41974.475081018521</v>
      </c>
      <c r="B2017" s="2" t="s">
        <v>2978</v>
      </c>
      <c r="C2017" s="2" t="s">
        <v>7</v>
      </c>
      <c r="D2017" s="2" t="str">
        <f>"9781452221229"</f>
        <v>9781452221229</v>
      </c>
      <c r="E2017" s="2">
        <v>1195934</v>
      </c>
    </row>
    <row r="2018" spans="1:5" x14ac:dyDescent="0.25">
      <c r="A2018" s="4">
        <v>42942.58902777778</v>
      </c>
      <c r="B2018" s="2" t="s">
        <v>124</v>
      </c>
      <c r="C2018" s="2" t="s">
        <v>36</v>
      </c>
      <c r="D2018" s="2" t="str">
        <f>"9781476625553"</f>
        <v>9781476625553</v>
      </c>
      <c r="E2018" s="2">
        <v>4530138</v>
      </c>
    </row>
    <row r="2019" spans="1:5" x14ac:dyDescent="0.25">
      <c r="A2019" s="4">
        <v>41873.349560185183</v>
      </c>
      <c r="B2019" s="2" t="s">
        <v>3943</v>
      </c>
      <c r="C2019" s="2" t="s">
        <v>424</v>
      </c>
      <c r="D2019" s="2" t="str">
        <f>"9780807862568"</f>
        <v>9780807862568</v>
      </c>
      <c r="E2019" s="2">
        <v>413342</v>
      </c>
    </row>
    <row r="2020" spans="1:5" x14ac:dyDescent="0.25">
      <c r="A2020" s="4">
        <v>41987.590509259258</v>
      </c>
      <c r="B2020" s="2" t="s">
        <v>2314</v>
      </c>
      <c r="C2020" s="2" t="s">
        <v>36</v>
      </c>
      <c r="D2020" s="2" t="str">
        <f>"9780786451159"</f>
        <v>9780786451159</v>
      </c>
      <c r="E2020" s="2">
        <v>1593624</v>
      </c>
    </row>
    <row r="2021" spans="1:5" x14ac:dyDescent="0.25">
      <c r="A2021" s="4">
        <v>41974.539039351854</v>
      </c>
      <c r="B2021" s="2" t="s">
        <v>2963</v>
      </c>
      <c r="C2021" s="2" t="s">
        <v>26</v>
      </c>
      <c r="D2021" s="2" t="str">
        <f>"9780470695432"</f>
        <v>9780470695432</v>
      </c>
      <c r="E2021" s="2">
        <v>470709</v>
      </c>
    </row>
    <row r="2022" spans="1:5" x14ac:dyDescent="0.25">
      <c r="A2022" s="4">
        <v>41931.875451388885</v>
      </c>
      <c r="B2022" s="2" t="s">
        <v>3132</v>
      </c>
      <c r="C2022" s="2" t="s">
        <v>7</v>
      </c>
      <c r="D2022" s="2" t="str">
        <f>"9781452263717"</f>
        <v>9781452263717</v>
      </c>
      <c r="E2022" s="2">
        <v>996857</v>
      </c>
    </row>
    <row r="2023" spans="1:5" x14ac:dyDescent="0.25">
      <c r="A2023" s="4">
        <v>41994.889861111114</v>
      </c>
      <c r="B2023" s="2" t="s">
        <v>1917</v>
      </c>
      <c r="C2023" s="2" t="s">
        <v>72</v>
      </c>
      <c r="D2023" s="2" t="str">
        <f>"9780748631797"</f>
        <v>9780748631797</v>
      </c>
      <c r="E2023" s="2">
        <v>380402</v>
      </c>
    </row>
    <row r="2024" spans="1:5" x14ac:dyDescent="0.25">
      <c r="A2024" s="4">
        <v>41994.899085648147</v>
      </c>
      <c r="B2024" s="2" t="s">
        <v>1312</v>
      </c>
      <c r="C2024" s="2" t="s">
        <v>63</v>
      </c>
      <c r="D2024" s="2" t="str">
        <f>"9781400820511"</f>
        <v>9781400820511</v>
      </c>
      <c r="E2024" s="2">
        <v>668944</v>
      </c>
    </row>
    <row r="2025" spans="1:5" x14ac:dyDescent="0.25">
      <c r="A2025" s="4">
        <v>41994.899131944447</v>
      </c>
      <c r="B2025" s="2" t="s">
        <v>1156</v>
      </c>
      <c r="C2025" s="2" t="s">
        <v>63</v>
      </c>
      <c r="D2025" s="2" t="str">
        <f>"9781400848294"</f>
        <v>9781400848294</v>
      </c>
      <c r="E2025" s="2">
        <v>1205613</v>
      </c>
    </row>
    <row r="2026" spans="1:5" x14ac:dyDescent="0.25">
      <c r="A2026" s="4">
        <v>41976.525567129633</v>
      </c>
      <c r="B2026" s="2" t="s">
        <v>2693</v>
      </c>
      <c r="C2026" s="2" t="s">
        <v>7</v>
      </c>
      <c r="D2026" s="2" t="str">
        <f>"9781849208239"</f>
        <v>9781849208239</v>
      </c>
      <c r="E2026" s="2">
        <v>465108</v>
      </c>
    </row>
    <row r="2027" spans="1:5" x14ac:dyDescent="0.25">
      <c r="A2027" s="4">
        <v>41923.485578703701</v>
      </c>
      <c r="B2027" s="2" t="s">
        <v>3308</v>
      </c>
      <c r="C2027" s="2" t="s">
        <v>28</v>
      </c>
      <c r="D2027" s="2" t="str">
        <f>"9780253000316"</f>
        <v>9780253000316</v>
      </c>
      <c r="E2027" s="2">
        <v>362711</v>
      </c>
    </row>
    <row r="2028" spans="1:5" x14ac:dyDescent="0.25">
      <c r="A2028" s="4">
        <v>42878.527060185188</v>
      </c>
      <c r="B2028" s="2" t="s">
        <v>150</v>
      </c>
      <c r="C2028" s="2" t="s">
        <v>7</v>
      </c>
      <c r="D2028" s="2" t="str">
        <f>"9781446291818"</f>
        <v>9781446291818</v>
      </c>
      <c r="E2028" s="2">
        <v>4714340</v>
      </c>
    </row>
    <row r="2029" spans="1:5" x14ac:dyDescent="0.25">
      <c r="A2029" s="4">
        <v>41989.524618055555</v>
      </c>
      <c r="B2029" s="2" t="s">
        <v>2255</v>
      </c>
      <c r="C2029" s="2" t="s">
        <v>96</v>
      </c>
      <c r="D2029" s="2" t="str">
        <f>"9780807898741"</f>
        <v>9780807898741</v>
      </c>
      <c r="E2029" s="2">
        <v>880073</v>
      </c>
    </row>
    <row r="2030" spans="1:5" x14ac:dyDescent="0.25">
      <c r="A2030" s="4">
        <v>41994.892905092594</v>
      </c>
      <c r="B2030" s="2" t="s">
        <v>1738</v>
      </c>
      <c r="C2030" s="2" t="s">
        <v>16</v>
      </c>
      <c r="D2030" s="2" t="str">
        <f>"9781606238844"</f>
        <v>9781606238844</v>
      </c>
      <c r="E2030" s="2">
        <v>570361</v>
      </c>
    </row>
    <row r="2031" spans="1:5" x14ac:dyDescent="0.25">
      <c r="A2031" s="4">
        <v>41994.896168981482</v>
      </c>
      <c r="B2031" s="2" t="s">
        <v>1465</v>
      </c>
      <c r="C2031" s="2" t="s">
        <v>28</v>
      </c>
      <c r="D2031" s="2" t="str">
        <f>"9780253013606"</f>
        <v>9780253013606</v>
      </c>
      <c r="E2031" s="2">
        <v>1402897</v>
      </c>
    </row>
    <row r="2032" spans="1:5" x14ac:dyDescent="0.25">
      <c r="A2032" s="4">
        <v>42879.433171296296</v>
      </c>
      <c r="B2032" s="2" t="s">
        <v>139</v>
      </c>
      <c r="C2032" s="2" t="s">
        <v>36</v>
      </c>
      <c r="D2032" s="2" t="str">
        <f>"9781476626758"</f>
        <v>9781476626758</v>
      </c>
      <c r="E2032" s="2">
        <v>4792951</v>
      </c>
    </row>
    <row r="2033" spans="1:5" x14ac:dyDescent="0.25">
      <c r="A2033" s="4">
        <v>41994.899108796293</v>
      </c>
      <c r="B2033" s="2" t="s">
        <v>1214</v>
      </c>
      <c r="C2033" s="2" t="s">
        <v>63</v>
      </c>
      <c r="D2033" s="2" t="str">
        <f>"9781400845620"</f>
        <v>9781400845620</v>
      </c>
      <c r="E2033" s="2">
        <v>1011050</v>
      </c>
    </row>
    <row r="2034" spans="1:5" x14ac:dyDescent="0.25">
      <c r="A2034" s="4">
        <v>41928.960081018522</v>
      </c>
      <c r="B2034" s="2" t="s">
        <v>3187</v>
      </c>
      <c r="C2034" s="2" t="s">
        <v>63</v>
      </c>
      <c r="D2034" s="2" t="str">
        <f>"9781400836710"</f>
        <v>9781400836710</v>
      </c>
      <c r="E2034" s="2">
        <v>1102570</v>
      </c>
    </row>
    <row r="2035" spans="1:5" x14ac:dyDescent="0.25">
      <c r="A2035" s="4">
        <v>41994.892928240741</v>
      </c>
      <c r="B2035" s="2" t="s">
        <v>1674</v>
      </c>
      <c r="C2035" s="2" t="s">
        <v>16</v>
      </c>
      <c r="D2035" s="2" t="str">
        <f>"9781462507535"</f>
        <v>9781462507535</v>
      </c>
      <c r="E2035" s="2">
        <v>1034768</v>
      </c>
    </row>
    <row r="2036" spans="1:5" x14ac:dyDescent="0.25">
      <c r="A2036" s="4">
        <v>41994.901909722219</v>
      </c>
      <c r="B2036" s="2" t="s">
        <v>1016</v>
      </c>
      <c r="C2036" s="2" t="s">
        <v>119</v>
      </c>
      <c r="D2036" s="2" t="str">
        <f>"9780520925212"</f>
        <v>9780520925212</v>
      </c>
      <c r="E2036" s="2">
        <v>223983</v>
      </c>
    </row>
    <row r="2037" spans="1:5" x14ac:dyDescent="0.25">
      <c r="A2037" s="4">
        <v>41919.336597222224</v>
      </c>
      <c r="B2037" s="2" t="s">
        <v>3406</v>
      </c>
      <c r="C2037" s="2" t="s">
        <v>74</v>
      </c>
      <c r="D2037" s="2" t="str">
        <f>"9781441106209"</f>
        <v>9781441106209</v>
      </c>
      <c r="E2037" s="2">
        <v>601749</v>
      </c>
    </row>
    <row r="2038" spans="1:5" x14ac:dyDescent="0.25">
      <c r="A2038" s="4">
        <v>41994.899062500001</v>
      </c>
      <c r="B2038" s="2" t="s">
        <v>1385</v>
      </c>
      <c r="C2038" s="2" t="s">
        <v>63</v>
      </c>
      <c r="D2038" s="2" t="str">
        <f>"9781400834594"</f>
        <v>9781400834594</v>
      </c>
      <c r="E2038" s="2">
        <v>485758</v>
      </c>
    </row>
    <row r="2039" spans="1:5" x14ac:dyDescent="0.25">
      <c r="A2039" s="4">
        <v>41926.863136574073</v>
      </c>
      <c r="B2039" s="2" t="s">
        <v>3235</v>
      </c>
      <c r="C2039" s="2" t="s">
        <v>2283</v>
      </c>
      <c r="D2039" s="2" t="str">
        <f>"9789027270894"</f>
        <v>9789027270894</v>
      </c>
      <c r="E2039" s="2">
        <v>1562821</v>
      </c>
    </row>
    <row r="2040" spans="1:5" x14ac:dyDescent="0.25">
      <c r="A2040" s="4">
        <v>41933.645196759258</v>
      </c>
      <c r="B2040" s="2" t="s">
        <v>3084</v>
      </c>
      <c r="C2040" s="2" t="s">
        <v>72</v>
      </c>
      <c r="D2040" s="2" t="str">
        <f>"9780748647071"</f>
        <v>9780748647071</v>
      </c>
      <c r="E2040" s="2">
        <v>744027</v>
      </c>
    </row>
    <row r="2041" spans="1:5" x14ac:dyDescent="0.25">
      <c r="A2041" s="4">
        <v>41912.990601851852</v>
      </c>
      <c r="B2041" s="2" t="s">
        <v>3547</v>
      </c>
      <c r="C2041" s="2" t="s">
        <v>160</v>
      </c>
      <c r="D2041" s="2" t="str">
        <f>"9781444317442"</f>
        <v>9781444317442</v>
      </c>
      <c r="E2041" s="2">
        <v>485676</v>
      </c>
    </row>
    <row r="2042" spans="1:5" x14ac:dyDescent="0.25">
      <c r="A2042" s="4">
        <v>41974.458356481482</v>
      </c>
      <c r="B2042" s="2" t="s">
        <v>2982</v>
      </c>
      <c r="C2042" s="2" t="s">
        <v>119</v>
      </c>
      <c r="D2042" s="2" t="str">
        <f>"9780520948518"</f>
        <v>9780520948518</v>
      </c>
      <c r="E2042" s="2">
        <v>769730</v>
      </c>
    </row>
    <row r="2043" spans="1:5" x14ac:dyDescent="0.25">
      <c r="A2043" s="4">
        <v>41974.518090277779</v>
      </c>
      <c r="B2043" s="2" t="s">
        <v>2968</v>
      </c>
      <c r="C2043" s="2" t="s">
        <v>2404</v>
      </c>
      <c r="D2043" s="2" t="str">
        <f>"9780335239054"</f>
        <v>9780335239054</v>
      </c>
      <c r="E2043" s="2">
        <v>480619</v>
      </c>
    </row>
    <row r="2044" spans="1:5" x14ac:dyDescent="0.25">
      <c r="A2044" s="4">
        <v>41994.885023148148</v>
      </c>
      <c r="B2044" s="2" t="s">
        <v>2045</v>
      </c>
      <c r="C2044" s="2" t="s">
        <v>74</v>
      </c>
      <c r="D2044" s="2" t="str">
        <f>"9781441185778"</f>
        <v>9781441185778</v>
      </c>
      <c r="E2044" s="2">
        <v>1050456</v>
      </c>
    </row>
    <row r="2045" spans="1:5" x14ac:dyDescent="0.25">
      <c r="A2045" s="4">
        <v>41994.892905092594</v>
      </c>
      <c r="B2045" s="2" t="s">
        <v>1744</v>
      </c>
      <c r="C2045" s="2" t="s">
        <v>16</v>
      </c>
      <c r="D2045" s="2" t="str">
        <f>"9781606236925"</f>
        <v>9781606236925</v>
      </c>
      <c r="E2045" s="2">
        <v>515888</v>
      </c>
    </row>
    <row r="2046" spans="1:5" x14ac:dyDescent="0.25">
      <c r="A2046" s="4">
        <v>41935.956250000003</v>
      </c>
      <c r="B2046" s="2" t="s">
        <v>3008</v>
      </c>
      <c r="C2046" s="2" t="s">
        <v>26</v>
      </c>
      <c r="D2046" s="2" t="str">
        <f>"9780470724446"</f>
        <v>9780470724446</v>
      </c>
      <c r="E2046" s="2">
        <v>351272</v>
      </c>
    </row>
    <row r="2047" spans="1:5" x14ac:dyDescent="0.25">
      <c r="A2047" s="4">
        <v>42878.527060185188</v>
      </c>
      <c r="B2047" s="2" t="s">
        <v>153</v>
      </c>
      <c r="C2047" s="2" t="s">
        <v>26</v>
      </c>
      <c r="D2047" s="2" t="str">
        <f>"9781118902776"</f>
        <v>9781118902776</v>
      </c>
      <c r="E2047" s="2">
        <v>4107721</v>
      </c>
    </row>
    <row r="2048" spans="1:5" x14ac:dyDescent="0.25">
      <c r="A2048" s="4">
        <v>41994.899143518516</v>
      </c>
      <c r="B2048" s="2" t="s">
        <v>1082</v>
      </c>
      <c r="C2048" s="2" t="s">
        <v>63</v>
      </c>
      <c r="D2048" s="2" t="str">
        <f>"9781400851201"</f>
        <v>9781400851201</v>
      </c>
      <c r="E2048" s="2">
        <v>1630159</v>
      </c>
    </row>
    <row r="2049" spans="1:5" x14ac:dyDescent="0.25">
      <c r="A2049" s="4">
        <v>41994.889884259261</v>
      </c>
      <c r="B2049" s="2" t="s">
        <v>1873</v>
      </c>
      <c r="C2049" s="2" t="s">
        <v>72</v>
      </c>
      <c r="D2049" s="2" t="str">
        <f>"9780748634613"</f>
        <v>9780748634613</v>
      </c>
      <c r="E2049" s="2">
        <v>714138</v>
      </c>
    </row>
    <row r="2050" spans="1:5" x14ac:dyDescent="0.25">
      <c r="A2050" s="4">
        <v>41976.47383101852</v>
      </c>
      <c r="B2050" s="2" t="s">
        <v>2705</v>
      </c>
      <c r="C2050" s="2" t="s">
        <v>26</v>
      </c>
      <c r="D2050" s="2" t="str">
        <f>"9781118170366"</f>
        <v>9781118170366</v>
      </c>
      <c r="E2050" s="2">
        <v>818964</v>
      </c>
    </row>
    <row r="2051" spans="1:5" x14ac:dyDescent="0.25">
      <c r="A2051" s="4">
        <v>41994.901944444442</v>
      </c>
      <c r="B2051" s="2" t="s">
        <v>904</v>
      </c>
      <c r="C2051" s="2" t="s">
        <v>119</v>
      </c>
      <c r="D2051" s="2" t="str">
        <f>"9780520947740"</f>
        <v>9780520947740</v>
      </c>
      <c r="E2051" s="2">
        <v>593591</v>
      </c>
    </row>
    <row r="2052" spans="1:5" x14ac:dyDescent="0.25">
      <c r="A2052" s="4">
        <v>41912.544861111113</v>
      </c>
      <c r="B2052" s="2" t="s">
        <v>3562</v>
      </c>
      <c r="C2052" s="2" t="s">
        <v>160</v>
      </c>
      <c r="D2052" s="2" t="str">
        <f>"9780470029190"</f>
        <v>9780470029190</v>
      </c>
      <c r="E2052" s="2">
        <v>267181</v>
      </c>
    </row>
    <row r="2053" spans="1:5" x14ac:dyDescent="0.25">
      <c r="A2053" s="4">
        <v>42094.187928240739</v>
      </c>
      <c r="B2053" s="2" t="s">
        <v>2245</v>
      </c>
      <c r="C2053" s="2" t="s">
        <v>26</v>
      </c>
      <c r="D2053" s="2" t="str">
        <f>"9781118017746"</f>
        <v>9781118017746</v>
      </c>
      <c r="E2053" s="2">
        <v>693176</v>
      </c>
    </row>
    <row r="2054" spans="1:5" x14ac:dyDescent="0.25">
      <c r="A2054" s="4">
        <v>41872.396122685182</v>
      </c>
      <c r="B2054" s="2" t="s">
        <v>2245</v>
      </c>
      <c r="C2054" s="2" t="s">
        <v>26</v>
      </c>
      <c r="D2054" s="2" t="str">
        <f>"9781118017746"</f>
        <v>9781118017746</v>
      </c>
      <c r="E2054" s="2">
        <v>693176</v>
      </c>
    </row>
    <row r="2055" spans="1:5" x14ac:dyDescent="0.25">
      <c r="A2055" s="4">
        <v>41976.580300925925</v>
      </c>
      <c r="B2055" s="2" t="s">
        <v>2673</v>
      </c>
      <c r="C2055" s="2" t="s">
        <v>419</v>
      </c>
      <c r="D2055" s="2" t="str">
        <f>"9780822070214"</f>
        <v>9780822070214</v>
      </c>
      <c r="E2055" s="2">
        <v>129911</v>
      </c>
    </row>
    <row r="2056" spans="1:5" x14ac:dyDescent="0.25">
      <c r="A2056" s="4">
        <v>41918.423842592594</v>
      </c>
      <c r="B2056" s="2" t="s">
        <v>3441</v>
      </c>
      <c r="C2056" s="2" t="s">
        <v>2283</v>
      </c>
      <c r="D2056" s="2" t="str">
        <f>"9789027283092"</f>
        <v>9789027283092</v>
      </c>
      <c r="E2056" s="2">
        <v>784224</v>
      </c>
    </row>
    <row r="2057" spans="1:5" x14ac:dyDescent="0.25">
      <c r="A2057" s="4">
        <v>41994.905601851853</v>
      </c>
      <c r="B2057" s="2" t="s">
        <v>530</v>
      </c>
      <c r="C2057" s="2" t="s">
        <v>96</v>
      </c>
      <c r="D2057" s="2" t="str">
        <f>"9780807882580"</f>
        <v>9780807882580</v>
      </c>
      <c r="E2057" s="2">
        <v>877320</v>
      </c>
    </row>
    <row r="2058" spans="1:5" x14ac:dyDescent="0.25">
      <c r="A2058" s="4">
        <v>41904.460185185184</v>
      </c>
      <c r="B2058" s="2" t="s">
        <v>3780</v>
      </c>
      <c r="C2058" s="2" t="s">
        <v>26</v>
      </c>
      <c r="D2058" s="2" t="str">
        <f>"9780470755570"</f>
        <v>9780470755570</v>
      </c>
      <c r="E2058" s="2">
        <v>351275</v>
      </c>
    </row>
    <row r="2059" spans="1:5" x14ac:dyDescent="0.25">
      <c r="A2059" s="4">
        <v>41994.902002314811</v>
      </c>
      <c r="B2059" s="2" t="s">
        <v>709</v>
      </c>
      <c r="C2059" s="2" t="s">
        <v>119</v>
      </c>
      <c r="D2059" s="2" t="str">
        <f>"9780520954595"</f>
        <v>9780520954595</v>
      </c>
      <c r="E2059" s="2">
        <v>1186486</v>
      </c>
    </row>
    <row r="2060" spans="1:5" x14ac:dyDescent="0.25">
      <c r="A2060" s="4">
        <v>41994.896168981482</v>
      </c>
      <c r="B2060" s="2" t="s">
        <v>1464</v>
      </c>
      <c r="C2060" s="2" t="s">
        <v>28</v>
      </c>
      <c r="D2060" s="2" t="str">
        <f>"9780253013521"</f>
        <v>9780253013521</v>
      </c>
      <c r="E2060" s="2">
        <v>1402901</v>
      </c>
    </row>
    <row r="2061" spans="1:5" x14ac:dyDescent="0.25">
      <c r="A2061" s="4">
        <v>41906.735590277778</v>
      </c>
      <c r="B2061" s="2" t="s">
        <v>3703</v>
      </c>
      <c r="C2061" s="2" t="s">
        <v>36</v>
      </c>
      <c r="D2061" s="2" t="str">
        <f>"9780786488636"</f>
        <v>9780786488636</v>
      </c>
      <c r="E2061" s="2">
        <v>881872</v>
      </c>
    </row>
    <row r="2062" spans="1:5" x14ac:dyDescent="0.25">
      <c r="A2062" s="4">
        <v>41918.844224537039</v>
      </c>
      <c r="B2062" s="2" t="s">
        <v>3414</v>
      </c>
      <c r="C2062" s="2" t="s">
        <v>26</v>
      </c>
      <c r="D2062" s="2" t="str">
        <f>"9780471740193"</f>
        <v>9780471740193</v>
      </c>
      <c r="E2062" s="2">
        <v>290509</v>
      </c>
    </row>
    <row r="2063" spans="1:5" x14ac:dyDescent="0.25">
      <c r="A2063" s="4">
        <v>41994.885011574072</v>
      </c>
      <c r="B2063" s="2" t="s">
        <v>2085</v>
      </c>
      <c r="C2063" s="2" t="s">
        <v>18</v>
      </c>
      <c r="D2063" s="2" t="str">
        <f>"9781441104328"</f>
        <v>9781441104328</v>
      </c>
      <c r="E2063" s="2">
        <v>742956</v>
      </c>
    </row>
    <row r="2064" spans="1:5" x14ac:dyDescent="0.25">
      <c r="A2064" s="4">
        <v>41994.892905092594</v>
      </c>
      <c r="B2064" s="2" t="s">
        <v>1760</v>
      </c>
      <c r="C2064" s="2" t="s">
        <v>16</v>
      </c>
      <c r="D2064" s="2" t="str">
        <f>"9781606233351"</f>
        <v>9781606233351</v>
      </c>
      <c r="E2064" s="2">
        <v>460414</v>
      </c>
    </row>
    <row r="2065" spans="1:5" x14ac:dyDescent="0.25">
      <c r="A2065" s="4">
        <v>41976.474548611113</v>
      </c>
      <c r="B2065" s="2" t="s">
        <v>2704</v>
      </c>
      <c r="C2065" s="2" t="s">
        <v>28</v>
      </c>
      <c r="D2065" s="2" t="str">
        <f>"9780253012418"</f>
        <v>9780253012418</v>
      </c>
      <c r="E2065" s="2">
        <v>1207317</v>
      </c>
    </row>
    <row r="2066" spans="1:5" x14ac:dyDescent="0.25">
      <c r="A2066" s="4">
        <v>43207.571412037039</v>
      </c>
      <c r="B2066" s="2" t="s">
        <v>42</v>
      </c>
      <c r="C2066" s="2" t="s">
        <v>18</v>
      </c>
      <c r="D2066" s="2" t="str">
        <f>"9781350004719"</f>
        <v>9781350004719</v>
      </c>
      <c r="E2066" s="2">
        <v>5061548</v>
      </c>
    </row>
    <row r="2067" spans="1:5" x14ac:dyDescent="0.25">
      <c r="A2067" s="4">
        <v>41921.421770833331</v>
      </c>
      <c r="B2067" s="2" t="s">
        <v>3346</v>
      </c>
      <c r="C2067" s="2" t="s">
        <v>16</v>
      </c>
      <c r="D2067" s="2" t="str">
        <f>"9781606231166"</f>
        <v>9781606231166</v>
      </c>
      <c r="E2067" s="2">
        <v>352685</v>
      </c>
    </row>
    <row r="2068" spans="1:5" x14ac:dyDescent="0.25">
      <c r="A2068" s="4">
        <v>41978.553333333337</v>
      </c>
      <c r="B2068" s="2" t="s">
        <v>2569</v>
      </c>
      <c r="C2068" s="2" t="s">
        <v>26</v>
      </c>
      <c r="D2068" s="2" t="str">
        <f>"9780787980061"</f>
        <v>9780787980061</v>
      </c>
      <c r="E2068" s="2">
        <v>238816</v>
      </c>
    </row>
    <row r="2069" spans="1:5" x14ac:dyDescent="0.25">
      <c r="A2069" s="4">
        <v>41908.708923611113</v>
      </c>
      <c r="B2069" s="2" t="s">
        <v>3641</v>
      </c>
      <c r="C2069" s="2" t="s">
        <v>26</v>
      </c>
      <c r="D2069" s="2" t="str">
        <f>"9780470588673"</f>
        <v>9780470588673</v>
      </c>
      <c r="E2069" s="2">
        <v>514306</v>
      </c>
    </row>
    <row r="2070" spans="1:5" x14ac:dyDescent="0.25">
      <c r="A2070" s="4">
        <v>41842.533379629633</v>
      </c>
      <c r="B2070" s="2" t="s">
        <v>3972</v>
      </c>
      <c r="C2070" s="2" t="s">
        <v>7</v>
      </c>
      <c r="D2070" s="2" t="str">
        <f>"9781446275269"</f>
        <v>9781446275269</v>
      </c>
      <c r="E2070" s="2">
        <v>1138480</v>
      </c>
    </row>
    <row r="2071" spans="1:5" x14ac:dyDescent="0.25">
      <c r="A2071" s="4">
        <v>41994.901944444442</v>
      </c>
      <c r="B2071" s="2" t="s">
        <v>883</v>
      </c>
      <c r="C2071" s="2" t="s">
        <v>119</v>
      </c>
      <c r="D2071" s="2" t="str">
        <f>"9780520948273"</f>
        <v>9780520948273</v>
      </c>
      <c r="E2071" s="2">
        <v>656363</v>
      </c>
    </row>
    <row r="2072" spans="1:5" x14ac:dyDescent="0.25">
      <c r="A2072" s="4">
        <v>41994.901921296296</v>
      </c>
      <c r="B2072" s="2" t="s">
        <v>971</v>
      </c>
      <c r="C2072" s="2" t="s">
        <v>119</v>
      </c>
      <c r="D2072" s="2" t="str">
        <f>"9780520938601"</f>
        <v>9780520938601</v>
      </c>
      <c r="E2072" s="2">
        <v>240966</v>
      </c>
    </row>
    <row r="2073" spans="1:5" x14ac:dyDescent="0.25">
      <c r="A2073" s="4">
        <v>41974.87090277778</v>
      </c>
      <c r="B2073" s="2" t="s">
        <v>2903</v>
      </c>
      <c r="C2073" s="2" t="s">
        <v>28</v>
      </c>
      <c r="D2073" s="2" t="str">
        <f>"9780253007773"</f>
        <v>9780253007773</v>
      </c>
      <c r="E2073" s="2">
        <v>863643</v>
      </c>
    </row>
    <row r="2074" spans="1:5" x14ac:dyDescent="0.25">
      <c r="A2074" s="4">
        <v>41878.489884259259</v>
      </c>
      <c r="B2074" s="2" t="s">
        <v>3930</v>
      </c>
      <c r="C2074" s="2" t="s">
        <v>119</v>
      </c>
      <c r="D2074" s="2" t="str">
        <f>"9780520938830"</f>
        <v>9780520938830</v>
      </c>
      <c r="E2074" s="2">
        <v>470816</v>
      </c>
    </row>
    <row r="2075" spans="1:5" x14ac:dyDescent="0.25">
      <c r="A2075" s="4">
        <v>41994.901921296296</v>
      </c>
      <c r="B2075" s="2" t="s">
        <v>970</v>
      </c>
      <c r="C2075" s="2" t="s">
        <v>119</v>
      </c>
      <c r="D2075" s="2" t="str">
        <f>"9780520932616"</f>
        <v>9780520932616</v>
      </c>
      <c r="E2075" s="2">
        <v>240967</v>
      </c>
    </row>
    <row r="2076" spans="1:5" x14ac:dyDescent="0.25">
      <c r="A2076" s="4">
        <v>41980.442060185182</v>
      </c>
      <c r="B2076" s="2" t="s">
        <v>2519</v>
      </c>
      <c r="C2076" s="2" t="s">
        <v>7</v>
      </c>
      <c r="D2076" s="2" t="str">
        <f>"9781412931526"</f>
        <v>9781412931526</v>
      </c>
      <c r="E2076" s="2">
        <v>254681</v>
      </c>
    </row>
    <row r="2077" spans="1:5" x14ac:dyDescent="0.25">
      <c r="A2077" s="4">
        <v>41915.489988425928</v>
      </c>
      <c r="B2077" s="2" t="s">
        <v>3497</v>
      </c>
      <c r="C2077" s="2" t="s">
        <v>26</v>
      </c>
      <c r="D2077" s="2" t="str">
        <f>"9780470627198"</f>
        <v>9780470627198</v>
      </c>
      <c r="E2077" s="2">
        <v>588930</v>
      </c>
    </row>
    <row r="2078" spans="1:5" x14ac:dyDescent="0.25">
      <c r="A2078" s="4">
        <v>41934.414363425924</v>
      </c>
      <c r="B2078" s="2" t="s">
        <v>3065</v>
      </c>
      <c r="C2078" s="2" t="s">
        <v>26</v>
      </c>
      <c r="D2078" s="2" t="str">
        <f>"9780470594131"</f>
        <v>9780470594131</v>
      </c>
      <c r="E2078" s="2">
        <v>487711</v>
      </c>
    </row>
    <row r="2079" spans="1:5" x14ac:dyDescent="0.25">
      <c r="A2079" s="4">
        <v>41985.368923611109</v>
      </c>
      <c r="B2079" s="2" t="s">
        <v>2342</v>
      </c>
      <c r="C2079" s="2" t="s">
        <v>7</v>
      </c>
      <c r="D2079" s="2" t="str">
        <f>"9781452262437"</f>
        <v>9781452262437</v>
      </c>
      <c r="E2079" s="2">
        <v>996543</v>
      </c>
    </row>
    <row r="2080" spans="1:5" x14ac:dyDescent="0.25">
      <c r="A2080" s="4">
        <v>41994.901932870373</v>
      </c>
      <c r="B2080" s="2" t="s">
        <v>928</v>
      </c>
      <c r="C2080" s="2" t="s">
        <v>119</v>
      </c>
      <c r="D2080" s="2" t="str">
        <f>"9780520945715"</f>
        <v>9780520945715</v>
      </c>
      <c r="E2080" s="2">
        <v>496566</v>
      </c>
    </row>
    <row r="2081" spans="1:5" x14ac:dyDescent="0.25">
      <c r="A2081" s="4">
        <v>41984.69332175926</v>
      </c>
      <c r="B2081" s="2" t="s">
        <v>2355</v>
      </c>
      <c r="C2081" s="2" t="s">
        <v>28</v>
      </c>
      <c r="D2081" s="2" t="str">
        <f>"9780253000750"</f>
        <v>9780253000750</v>
      </c>
      <c r="E2081" s="2">
        <v>816826</v>
      </c>
    </row>
    <row r="2082" spans="1:5" x14ac:dyDescent="0.25">
      <c r="A2082" s="4">
        <v>41891.527175925927</v>
      </c>
      <c r="B2082" s="2" t="s">
        <v>3892</v>
      </c>
      <c r="C2082" s="2" t="s">
        <v>119</v>
      </c>
      <c r="D2082" s="2" t="str">
        <f>"9780520936409"</f>
        <v>9780520936409</v>
      </c>
      <c r="E2082" s="2">
        <v>227310</v>
      </c>
    </row>
    <row r="2083" spans="1:5" x14ac:dyDescent="0.25">
      <c r="A2083" s="4">
        <v>41994.901921296296</v>
      </c>
      <c r="B2083" s="2" t="s">
        <v>965</v>
      </c>
      <c r="C2083" s="2" t="s">
        <v>119</v>
      </c>
      <c r="D2083" s="2" t="str">
        <f>"9780520938991"</f>
        <v>9780520938991</v>
      </c>
      <c r="E2083" s="2">
        <v>257075</v>
      </c>
    </row>
    <row r="2084" spans="1:5" x14ac:dyDescent="0.25">
      <c r="A2084" s="4">
        <v>41882.667604166665</v>
      </c>
      <c r="B2084" s="2" t="s">
        <v>3917</v>
      </c>
      <c r="C2084" s="2" t="s">
        <v>63</v>
      </c>
      <c r="D2084" s="2" t="str">
        <f>"9781400847952"</f>
        <v>9781400847952</v>
      </c>
      <c r="E2084" s="2">
        <v>1275328</v>
      </c>
    </row>
    <row r="2085" spans="1:5" x14ac:dyDescent="0.25">
      <c r="A2085" s="4">
        <v>41983.988622685189</v>
      </c>
      <c r="B2085" s="2" t="s">
        <v>2379</v>
      </c>
      <c r="C2085" s="2" t="s">
        <v>26</v>
      </c>
      <c r="D2085" s="2" t="str">
        <f>"9780470665152"</f>
        <v>9780470665152</v>
      </c>
      <c r="E2085" s="2">
        <v>547196</v>
      </c>
    </row>
    <row r="2086" spans="1:5" x14ac:dyDescent="0.25">
      <c r="A2086" s="4">
        <v>41994.902002314811</v>
      </c>
      <c r="B2086" s="2" t="s">
        <v>714</v>
      </c>
      <c r="C2086" s="2" t="s">
        <v>119</v>
      </c>
      <c r="D2086" s="2" t="str">
        <f>"9780520954687"</f>
        <v>9780520954687</v>
      </c>
      <c r="E2086" s="2">
        <v>1161310</v>
      </c>
    </row>
    <row r="2087" spans="1:5" x14ac:dyDescent="0.25">
      <c r="A2087" s="4">
        <v>41903.795324074075</v>
      </c>
      <c r="B2087" s="2" t="s">
        <v>3790</v>
      </c>
      <c r="C2087" s="2" t="s">
        <v>160</v>
      </c>
      <c r="D2087" s="2" t="str">
        <f>"9780470583272"</f>
        <v>9780470583272</v>
      </c>
      <c r="E2087" s="2">
        <v>469892</v>
      </c>
    </row>
    <row r="2088" spans="1:5" x14ac:dyDescent="0.25">
      <c r="A2088" s="4">
        <v>41994.902013888888</v>
      </c>
      <c r="B2088" s="2" t="s">
        <v>657</v>
      </c>
      <c r="C2088" s="2" t="s">
        <v>119</v>
      </c>
      <c r="D2088" s="2" t="str">
        <f>"9780520957596"</f>
        <v>9780520957596</v>
      </c>
      <c r="E2088" s="2">
        <v>1693155</v>
      </c>
    </row>
    <row r="2089" spans="1:5" x14ac:dyDescent="0.25">
      <c r="A2089" s="4">
        <v>41988.67465277778</v>
      </c>
      <c r="B2089" s="2" t="s">
        <v>2275</v>
      </c>
      <c r="C2089" s="2" t="s">
        <v>26</v>
      </c>
      <c r="D2089" s="2" t="str">
        <f>"9780787979034"</f>
        <v>9780787979034</v>
      </c>
      <c r="E2089" s="2">
        <v>227432</v>
      </c>
    </row>
    <row r="2090" spans="1:5" x14ac:dyDescent="0.25">
      <c r="A2090" s="4">
        <v>41974.448414351849</v>
      </c>
      <c r="B2090" s="2" t="s">
        <v>2984</v>
      </c>
      <c r="C2090" s="2" t="s">
        <v>63</v>
      </c>
      <c r="D2090" s="2" t="str">
        <f>"9781400849956"</f>
        <v>9781400849956</v>
      </c>
      <c r="E2090" s="2">
        <v>1561558</v>
      </c>
    </row>
    <row r="2091" spans="1:5" x14ac:dyDescent="0.25">
      <c r="A2091" s="4">
        <v>41989.462291666663</v>
      </c>
      <c r="B2091" s="2" t="s">
        <v>2260</v>
      </c>
      <c r="C2091" s="2" t="s">
        <v>18</v>
      </c>
      <c r="D2091" s="2" t="str">
        <f>"9781408148891"</f>
        <v>9781408148891</v>
      </c>
      <c r="E2091" s="2">
        <v>1685636</v>
      </c>
    </row>
    <row r="2092" spans="1:5" x14ac:dyDescent="0.25">
      <c r="A2092" s="4">
        <v>41994.896168981482</v>
      </c>
      <c r="B2092" s="2" t="s">
        <v>1452</v>
      </c>
      <c r="C2092" s="2" t="s">
        <v>28</v>
      </c>
      <c r="D2092" s="2" t="str">
        <f>"9780253014245"</f>
        <v>9780253014245</v>
      </c>
      <c r="E2092" s="2">
        <v>1586380</v>
      </c>
    </row>
    <row r="2093" spans="1:5" x14ac:dyDescent="0.25">
      <c r="A2093" s="4">
        <v>41994.908194444448</v>
      </c>
      <c r="B2093" s="2" t="s">
        <v>309</v>
      </c>
      <c r="C2093" s="2" t="s">
        <v>26</v>
      </c>
      <c r="D2093" s="2" t="str">
        <f>"9780470889848"</f>
        <v>9780470889848</v>
      </c>
      <c r="E2093" s="2">
        <v>589098</v>
      </c>
    </row>
    <row r="2094" spans="1:5" x14ac:dyDescent="0.25">
      <c r="A2094" s="4">
        <v>41911.788761574076</v>
      </c>
      <c r="B2094" s="2" t="s">
        <v>3584</v>
      </c>
      <c r="C2094" s="2" t="s">
        <v>16</v>
      </c>
      <c r="D2094" s="2" t="str">
        <f>"9781606235072"</f>
        <v>9781606235072</v>
      </c>
      <c r="E2094" s="2">
        <v>471119</v>
      </c>
    </row>
    <row r="2095" spans="1:5" x14ac:dyDescent="0.25">
      <c r="A2095" s="4">
        <v>41935.903819444444</v>
      </c>
      <c r="B2095" s="2" t="s">
        <v>3010</v>
      </c>
      <c r="C2095" s="2" t="s">
        <v>1934</v>
      </c>
      <c r="D2095" s="2" t="str">
        <f>"9781847886408"</f>
        <v>9781847886408</v>
      </c>
      <c r="E2095" s="2">
        <v>472584</v>
      </c>
    </row>
    <row r="2096" spans="1:5" x14ac:dyDescent="0.25">
      <c r="A2096" s="4">
        <v>41994.901921296296</v>
      </c>
      <c r="B2096" s="2" t="s">
        <v>985</v>
      </c>
      <c r="C2096" s="2" t="s">
        <v>119</v>
      </c>
      <c r="D2096" s="2" t="str">
        <f>"9780520929159"</f>
        <v>9780520929159</v>
      </c>
      <c r="E2096" s="2">
        <v>227311</v>
      </c>
    </row>
    <row r="2097" spans="1:5" x14ac:dyDescent="0.25">
      <c r="A2097" s="4">
        <v>41986.86378472222</v>
      </c>
      <c r="B2097" s="2" t="s">
        <v>2319</v>
      </c>
      <c r="C2097" s="2" t="s">
        <v>18</v>
      </c>
      <c r="D2097" s="2" t="str">
        <f>"9781408177211"</f>
        <v>9781408177211</v>
      </c>
      <c r="E2097" s="2">
        <v>1645651</v>
      </c>
    </row>
    <row r="2098" spans="1:5" x14ac:dyDescent="0.25">
      <c r="A2098" s="4">
        <v>41974.685416666667</v>
      </c>
      <c r="B2098" s="2" t="s">
        <v>2932</v>
      </c>
      <c r="C2098" s="2" t="s">
        <v>424</v>
      </c>
      <c r="D2098" s="2" t="str">
        <f>"9780807862025"</f>
        <v>9780807862025</v>
      </c>
      <c r="E2098" s="2">
        <v>427126</v>
      </c>
    </row>
    <row r="2099" spans="1:5" x14ac:dyDescent="0.25">
      <c r="A2099" s="4">
        <v>41994.885011574072</v>
      </c>
      <c r="B2099" s="2" t="s">
        <v>2063</v>
      </c>
      <c r="C2099" s="2" t="s">
        <v>18</v>
      </c>
      <c r="D2099" s="2" t="str">
        <f>"9781849665704"</f>
        <v>9781849665704</v>
      </c>
      <c r="E2099" s="2">
        <v>863159</v>
      </c>
    </row>
    <row r="2100" spans="1:5" x14ac:dyDescent="0.25">
      <c r="A2100" s="4">
        <v>41982.616643518515</v>
      </c>
      <c r="B2100" s="2" t="s">
        <v>2430</v>
      </c>
      <c r="C2100" s="2" t="s">
        <v>72</v>
      </c>
      <c r="D2100" s="2" t="str">
        <f>"9780748626793"</f>
        <v>9780748626793</v>
      </c>
      <c r="E2100" s="2">
        <v>264970</v>
      </c>
    </row>
    <row r="2101" spans="1:5" x14ac:dyDescent="0.25">
      <c r="A2101" s="4">
        <v>41974.957372685189</v>
      </c>
      <c r="B2101" s="2" t="s">
        <v>2888</v>
      </c>
      <c r="C2101" s="2" t="s">
        <v>26</v>
      </c>
      <c r="D2101" s="2" t="str">
        <f>"9781444314830"</f>
        <v>9781444314830</v>
      </c>
      <c r="E2101" s="2">
        <v>470370</v>
      </c>
    </row>
    <row r="2102" spans="1:5" x14ac:dyDescent="0.25">
      <c r="A2102" s="4">
        <v>43244.46802083333</v>
      </c>
      <c r="B2102" s="2" t="s">
        <v>6</v>
      </c>
      <c r="C2102" s="2" t="s">
        <v>7</v>
      </c>
      <c r="D2102" s="2" t="str">
        <f>"9789386602381"</f>
        <v>9789386602381</v>
      </c>
      <c r="E2102" s="2">
        <v>5131489</v>
      </c>
    </row>
    <row r="2103" spans="1:5" x14ac:dyDescent="0.25">
      <c r="A2103" s="4">
        <v>41994.908171296294</v>
      </c>
      <c r="B2103" s="2" t="s">
        <v>369</v>
      </c>
      <c r="C2103" s="2" t="s">
        <v>26</v>
      </c>
      <c r="D2103" s="2" t="str">
        <f>"9780470779897"</f>
        <v>9780470779897</v>
      </c>
      <c r="E2103" s="2">
        <v>351293</v>
      </c>
    </row>
    <row r="2104" spans="1:5" x14ac:dyDescent="0.25">
      <c r="A2104" s="4">
        <v>41994.889930555553</v>
      </c>
      <c r="B2104" s="2" t="s">
        <v>1829</v>
      </c>
      <c r="C2104" s="2" t="s">
        <v>72</v>
      </c>
      <c r="D2104" s="2" t="str">
        <f>"9780748631650"</f>
        <v>9780748631650</v>
      </c>
      <c r="E2104" s="2">
        <v>1126603</v>
      </c>
    </row>
    <row r="2105" spans="1:5" x14ac:dyDescent="0.25">
      <c r="A2105" s="4">
        <v>41994.885000000002</v>
      </c>
      <c r="B2105" s="2" t="s">
        <v>2087</v>
      </c>
      <c r="C2105" s="2" t="s">
        <v>18</v>
      </c>
      <c r="D2105" s="2" t="str">
        <f>"9781441135537"</f>
        <v>9781441135537</v>
      </c>
      <c r="E2105" s="2">
        <v>742624</v>
      </c>
    </row>
    <row r="2106" spans="1:5" x14ac:dyDescent="0.25">
      <c r="A2106" s="4">
        <v>41994.899050925924</v>
      </c>
      <c r="B2106" s="2" t="s">
        <v>1400</v>
      </c>
      <c r="C2106" s="2" t="s">
        <v>63</v>
      </c>
      <c r="D2106" s="2" t="str">
        <f>"9781400828623"</f>
        <v>9781400828623</v>
      </c>
      <c r="E2106" s="2">
        <v>457942</v>
      </c>
    </row>
    <row r="2107" spans="1:5" x14ac:dyDescent="0.25">
      <c r="A2107" s="4">
        <v>41994.889907407407</v>
      </c>
      <c r="B2107" s="2" t="s">
        <v>1856</v>
      </c>
      <c r="C2107" s="2" t="s">
        <v>72</v>
      </c>
      <c r="D2107" s="2" t="str">
        <f>"9780748634330"</f>
        <v>9780748634330</v>
      </c>
      <c r="E2107" s="2">
        <v>932451</v>
      </c>
    </row>
    <row r="2108" spans="1:5" x14ac:dyDescent="0.25">
      <c r="A2108" s="4">
        <v>41994.899131944447</v>
      </c>
      <c r="B2108" s="2" t="s">
        <v>1117</v>
      </c>
      <c r="C2108" s="2" t="s">
        <v>63</v>
      </c>
      <c r="D2108" s="2" t="str">
        <f>"9781400850679"</f>
        <v>9781400850679</v>
      </c>
      <c r="E2108" s="2">
        <v>1538259</v>
      </c>
    </row>
    <row r="2109" spans="1:5" x14ac:dyDescent="0.25">
      <c r="A2109" s="4">
        <v>41994.896111111113</v>
      </c>
      <c r="B2109" s="2" t="s">
        <v>1586</v>
      </c>
      <c r="C2109" s="2" t="s">
        <v>28</v>
      </c>
      <c r="D2109" s="2" t="str">
        <f>"9780253003997"</f>
        <v>9780253003997</v>
      </c>
      <c r="E2109" s="2">
        <v>501426</v>
      </c>
    </row>
    <row r="2110" spans="1:5" x14ac:dyDescent="0.25">
      <c r="A2110" s="4">
        <v>41994.901898148149</v>
      </c>
      <c r="B2110" s="2" t="s">
        <v>1040</v>
      </c>
      <c r="C2110" s="2" t="s">
        <v>119</v>
      </c>
      <c r="D2110" s="2" t="str">
        <f>"9780520910102"</f>
        <v>9780520910102</v>
      </c>
      <c r="E2110" s="2">
        <v>223023</v>
      </c>
    </row>
    <row r="2111" spans="1:5" x14ac:dyDescent="0.25">
      <c r="A2111" s="4">
        <v>41994.901979166665</v>
      </c>
      <c r="B2111" s="2" t="s">
        <v>793</v>
      </c>
      <c r="C2111" s="2" t="s">
        <v>119</v>
      </c>
      <c r="D2111" s="2" t="str">
        <f>"9780520951860"</f>
        <v>9780520951860</v>
      </c>
      <c r="E2111" s="2">
        <v>869323</v>
      </c>
    </row>
    <row r="2112" spans="1:5" x14ac:dyDescent="0.25">
      <c r="A2112" s="4">
        <v>41994.899143518516</v>
      </c>
      <c r="B2112" s="2" t="s">
        <v>1111</v>
      </c>
      <c r="C2112" s="2" t="s">
        <v>63</v>
      </c>
      <c r="D2112" s="2" t="str">
        <f>"9781400850013"</f>
        <v>9781400850013</v>
      </c>
      <c r="E2112" s="2">
        <v>1568774</v>
      </c>
    </row>
    <row r="2113" spans="1:5" x14ac:dyDescent="0.25">
      <c r="A2113" s="4">
        <v>41994.908159722225</v>
      </c>
      <c r="B2113" s="2" t="s">
        <v>393</v>
      </c>
      <c r="C2113" s="2" t="s">
        <v>26</v>
      </c>
      <c r="D2113" s="2" t="str">
        <f>"9780787985738"</f>
        <v>9780787985738</v>
      </c>
      <c r="E2113" s="2">
        <v>261370</v>
      </c>
    </row>
    <row r="2114" spans="1:5" x14ac:dyDescent="0.25">
      <c r="A2114" s="4">
        <v>41994.902013888888</v>
      </c>
      <c r="B2114" s="2" t="s">
        <v>685</v>
      </c>
      <c r="C2114" s="2" t="s">
        <v>119</v>
      </c>
      <c r="D2114" s="2" t="str">
        <f>"9780520957480"</f>
        <v>9780520957480</v>
      </c>
      <c r="E2114" s="2">
        <v>1543761</v>
      </c>
    </row>
    <row r="2115" spans="1:5" x14ac:dyDescent="0.25">
      <c r="A2115" s="4">
        <v>41994.89912037037</v>
      </c>
      <c r="B2115" s="2" t="s">
        <v>1196</v>
      </c>
      <c r="C2115" s="2" t="s">
        <v>63</v>
      </c>
      <c r="D2115" s="2" t="str">
        <f>"9781400846320"</f>
        <v>9781400846320</v>
      </c>
      <c r="E2115" s="2">
        <v>1084833</v>
      </c>
    </row>
    <row r="2116" spans="1:5" x14ac:dyDescent="0.25">
      <c r="A2116" s="4">
        <v>41927.795081018521</v>
      </c>
      <c r="B2116" s="2" t="s">
        <v>3212</v>
      </c>
      <c r="C2116" s="2" t="s">
        <v>119</v>
      </c>
      <c r="D2116" s="2" t="str">
        <f>"9780520958661"</f>
        <v>9780520958661</v>
      </c>
      <c r="E2116" s="2">
        <v>1711024</v>
      </c>
    </row>
    <row r="2117" spans="1:5" x14ac:dyDescent="0.25">
      <c r="A2117" s="4">
        <v>41994.884988425925</v>
      </c>
      <c r="B2117" s="2" t="s">
        <v>2141</v>
      </c>
      <c r="C2117" s="2" t="s">
        <v>1934</v>
      </c>
      <c r="D2117" s="2" t="str">
        <f>"9781847884602"</f>
        <v>9781847884602</v>
      </c>
      <c r="E2117" s="2">
        <v>533073</v>
      </c>
    </row>
    <row r="2118" spans="1:5" x14ac:dyDescent="0.25">
      <c r="A2118" s="4">
        <v>41994.885023148148</v>
      </c>
      <c r="B2118" s="2" t="s">
        <v>2053</v>
      </c>
      <c r="C2118" s="2" t="s">
        <v>18</v>
      </c>
      <c r="D2118" s="2" t="str">
        <f>"9781441190611"</f>
        <v>9781441190611</v>
      </c>
      <c r="E2118" s="2">
        <v>922876</v>
      </c>
    </row>
    <row r="2119" spans="1:5" x14ac:dyDescent="0.25">
      <c r="A2119" s="4">
        <v>41994.899131944447</v>
      </c>
      <c r="B2119" s="2" t="s">
        <v>1132</v>
      </c>
      <c r="C2119" s="2" t="s">
        <v>63</v>
      </c>
      <c r="D2119" s="2" t="str">
        <f>"9781400849307"</f>
        <v>9781400849307</v>
      </c>
      <c r="E2119" s="2">
        <v>1422516</v>
      </c>
    </row>
    <row r="2120" spans="1:5" x14ac:dyDescent="0.25">
      <c r="A2120" s="4">
        <v>41994.896111111113</v>
      </c>
      <c r="B2120" s="2" t="s">
        <v>1567</v>
      </c>
      <c r="C2120" s="2" t="s">
        <v>28</v>
      </c>
      <c r="D2120" s="2" t="str">
        <f>"9780253004888"</f>
        <v>9780253004888</v>
      </c>
      <c r="E2120" s="2">
        <v>624332</v>
      </c>
    </row>
    <row r="2121" spans="1:5" x14ac:dyDescent="0.25">
      <c r="A2121" s="4">
        <v>41917.875243055554</v>
      </c>
      <c r="B2121" s="2" t="s">
        <v>3451</v>
      </c>
      <c r="C2121" s="2" t="s">
        <v>5</v>
      </c>
      <c r="D2121" s="2" t="str">
        <f>"9781846425394"</f>
        <v>9781846425394</v>
      </c>
      <c r="E2121" s="2">
        <v>290952</v>
      </c>
    </row>
    <row r="2122" spans="1:5" x14ac:dyDescent="0.25">
      <c r="A2122" s="4">
        <v>41917.56287037037</v>
      </c>
      <c r="B2122" s="2" t="s">
        <v>3460</v>
      </c>
      <c r="C2122" s="2" t="s">
        <v>26</v>
      </c>
      <c r="D2122" s="2" t="str">
        <f>"9780470149027"</f>
        <v>9780470149027</v>
      </c>
      <c r="E2122" s="2">
        <v>297218</v>
      </c>
    </row>
    <row r="2123" spans="1:5" x14ac:dyDescent="0.25">
      <c r="A2123" s="4">
        <v>41994.892916666664</v>
      </c>
      <c r="B2123" s="2" t="s">
        <v>1707</v>
      </c>
      <c r="C2123" s="2" t="s">
        <v>16</v>
      </c>
      <c r="D2123" s="2" t="str">
        <f>"9781609182595"</f>
        <v>9781609182595</v>
      </c>
      <c r="E2123" s="2">
        <v>759937</v>
      </c>
    </row>
    <row r="2124" spans="1:5" x14ac:dyDescent="0.25">
      <c r="A2124" s="4">
        <v>41994.892928240741</v>
      </c>
      <c r="B2124" s="2" t="s">
        <v>1704</v>
      </c>
      <c r="C2124" s="2" t="s">
        <v>16</v>
      </c>
      <c r="D2124" s="2" t="str">
        <f>"9781609189709"</f>
        <v>9781609189709</v>
      </c>
      <c r="E2124" s="2">
        <v>793714</v>
      </c>
    </row>
    <row r="2125" spans="1:5" x14ac:dyDescent="0.25">
      <c r="A2125" s="4">
        <v>41920.847754629627</v>
      </c>
      <c r="B2125" s="2" t="s">
        <v>3354</v>
      </c>
      <c r="C2125" s="2" t="s">
        <v>16</v>
      </c>
      <c r="D2125" s="2" t="str">
        <f>"9781609180638"</f>
        <v>9781609180638</v>
      </c>
      <c r="E2125" s="2">
        <v>615852</v>
      </c>
    </row>
    <row r="2126" spans="1:5" x14ac:dyDescent="0.25">
      <c r="A2126" s="4">
        <v>41994.896180555559</v>
      </c>
      <c r="B2126" s="2" t="s">
        <v>1438</v>
      </c>
      <c r="C2126" s="2" t="s">
        <v>28</v>
      </c>
      <c r="D2126" s="2" t="str">
        <f>"9780253014320"</f>
        <v>9780253014320</v>
      </c>
      <c r="E2126" s="2">
        <v>1782267</v>
      </c>
    </row>
    <row r="2127" spans="1:5" x14ac:dyDescent="0.25">
      <c r="A2127" s="4">
        <v>41921.017581018517</v>
      </c>
      <c r="B2127" s="2" t="s">
        <v>3352</v>
      </c>
      <c r="C2127" s="2" t="s">
        <v>1934</v>
      </c>
      <c r="D2127" s="2" t="str">
        <f>"9781408141182"</f>
        <v>9781408141182</v>
      </c>
      <c r="E2127" s="2">
        <v>1334408</v>
      </c>
    </row>
    <row r="2128" spans="1:5" x14ac:dyDescent="0.25">
      <c r="A2128" s="4">
        <v>41994.901967592596</v>
      </c>
      <c r="B2128" s="2" t="s">
        <v>829</v>
      </c>
      <c r="C2128" s="2" t="s">
        <v>119</v>
      </c>
      <c r="D2128" s="2" t="str">
        <f>"9780520943919"</f>
        <v>9780520943919</v>
      </c>
      <c r="E2128" s="2">
        <v>837157</v>
      </c>
    </row>
    <row r="2129" spans="1:5" x14ac:dyDescent="0.25">
      <c r="A2129" s="4">
        <v>41994.899108796293</v>
      </c>
      <c r="B2129" s="2" t="s">
        <v>1207</v>
      </c>
      <c r="C2129" s="2" t="s">
        <v>63</v>
      </c>
      <c r="D2129" s="2" t="str">
        <f>"9781400845118"</f>
        <v>9781400845118</v>
      </c>
      <c r="E2129" s="2">
        <v>1042907</v>
      </c>
    </row>
    <row r="2130" spans="1:5" x14ac:dyDescent="0.25">
      <c r="A2130" s="4">
        <v>41994.896145833336</v>
      </c>
      <c r="B2130" s="2" t="s">
        <v>1499</v>
      </c>
      <c r="C2130" s="2" t="s">
        <v>28</v>
      </c>
      <c r="D2130" s="2" t="str">
        <f>"9780253007315"</f>
        <v>9780253007315</v>
      </c>
      <c r="E2130" s="2">
        <v>1025595</v>
      </c>
    </row>
    <row r="2131" spans="1:5" x14ac:dyDescent="0.25">
      <c r="A2131" s="4">
        <v>41926.571423611109</v>
      </c>
      <c r="B2131" s="2" t="s">
        <v>3242</v>
      </c>
      <c r="C2131" s="2" t="s">
        <v>26</v>
      </c>
      <c r="D2131" s="2" t="str">
        <f>"9780471724346"</f>
        <v>9780471724346</v>
      </c>
      <c r="E2131" s="2">
        <v>238515</v>
      </c>
    </row>
    <row r="2132" spans="1:5" x14ac:dyDescent="0.25">
      <c r="A2132" s="4">
        <v>41978.492337962962</v>
      </c>
      <c r="B2132" s="2" t="s">
        <v>2575</v>
      </c>
      <c r="C2132" s="2" t="s">
        <v>2283</v>
      </c>
      <c r="D2132" s="2" t="str">
        <f>"9789027289285"</f>
        <v>9789027289285</v>
      </c>
      <c r="E2132" s="2">
        <v>622876</v>
      </c>
    </row>
    <row r="2133" spans="1:5" x14ac:dyDescent="0.25">
      <c r="A2133" s="4">
        <v>41975.734340277777</v>
      </c>
      <c r="B2133" s="2" t="s">
        <v>2795</v>
      </c>
      <c r="C2133" s="2" t="s">
        <v>205</v>
      </c>
      <c r="D2133" s="2" t="str">
        <f>"9780787973445"</f>
        <v>9780787973445</v>
      </c>
      <c r="E2133" s="2">
        <v>469026</v>
      </c>
    </row>
    <row r="2134" spans="1:5" x14ac:dyDescent="0.25">
      <c r="A2134" s="4">
        <v>41874.405613425923</v>
      </c>
      <c r="B2134" s="2" t="s">
        <v>3941</v>
      </c>
      <c r="C2134" s="2" t="s">
        <v>16</v>
      </c>
      <c r="D2134" s="2" t="str">
        <f>"9781606232231"</f>
        <v>9781606232231</v>
      </c>
      <c r="E2134" s="2">
        <v>362572</v>
      </c>
    </row>
    <row r="2135" spans="1:5" x14ac:dyDescent="0.25">
      <c r="A2135" s="4">
        <v>41975.701655092591</v>
      </c>
      <c r="B2135" s="2" t="s">
        <v>2804</v>
      </c>
      <c r="C2135" s="2" t="s">
        <v>28</v>
      </c>
      <c r="D2135" s="2" t="str">
        <f>"9780253008114"</f>
        <v>9780253008114</v>
      </c>
      <c r="E2135" s="2">
        <v>1169369</v>
      </c>
    </row>
    <row r="2136" spans="1:5" x14ac:dyDescent="0.25">
      <c r="A2136" s="4">
        <v>41900.499340277776</v>
      </c>
      <c r="B2136" s="2" t="s">
        <v>3838</v>
      </c>
      <c r="C2136" s="2" t="s">
        <v>36</v>
      </c>
      <c r="D2136" s="2" t="str">
        <f>"9781476603667"</f>
        <v>9781476603667</v>
      </c>
      <c r="E2136" s="2">
        <v>1186327</v>
      </c>
    </row>
    <row r="2137" spans="1:5" x14ac:dyDescent="0.25">
      <c r="A2137" s="4">
        <v>41994.885034722225</v>
      </c>
      <c r="B2137" s="2" t="s">
        <v>2004</v>
      </c>
      <c r="C2137" s="2" t="s">
        <v>18</v>
      </c>
      <c r="D2137" s="2" t="str">
        <f>"9780857851321"</f>
        <v>9780857851321</v>
      </c>
      <c r="E2137" s="2">
        <v>1334381</v>
      </c>
    </row>
    <row r="2138" spans="1:5" x14ac:dyDescent="0.25">
      <c r="A2138" s="4">
        <v>41911.327037037037</v>
      </c>
      <c r="B2138" s="2" t="s">
        <v>3606</v>
      </c>
      <c r="C2138" s="2" t="s">
        <v>5</v>
      </c>
      <c r="D2138" s="2" t="str">
        <f>"9781846424649"</f>
        <v>9781846424649</v>
      </c>
      <c r="E2138" s="2">
        <v>290879</v>
      </c>
    </row>
    <row r="2139" spans="1:5" x14ac:dyDescent="0.25">
      <c r="A2139" s="4">
        <v>41912.313518518517</v>
      </c>
      <c r="B2139" s="2" t="s">
        <v>3574</v>
      </c>
      <c r="C2139" s="2" t="s">
        <v>28</v>
      </c>
      <c r="D2139" s="2" t="str">
        <f>"9780253005410"</f>
        <v>9780253005410</v>
      </c>
      <c r="E2139" s="2">
        <v>670297</v>
      </c>
    </row>
    <row r="2140" spans="1:5" x14ac:dyDescent="0.25">
      <c r="A2140" s="4">
        <v>41994.896122685182</v>
      </c>
      <c r="B2140" s="2" t="s">
        <v>1545</v>
      </c>
      <c r="C2140" s="2" t="s">
        <v>28</v>
      </c>
      <c r="D2140" s="2" t="str">
        <f>"9780253000859"</f>
        <v>9780253000859</v>
      </c>
      <c r="E2140" s="2">
        <v>713660</v>
      </c>
    </row>
    <row r="2141" spans="1:5" x14ac:dyDescent="0.25">
      <c r="A2141" s="4">
        <v>43207.449363425927</v>
      </c>
      <c r="B2141" s="2" t="s">
        <v>51</v>
      </c>
      <c r="C2141" s="2" t="s">
        <v>18</v>
      </c>
      <c r="D2141" s="2" t="str">
        <f>"9781474264440"</f>
        <v>9781474264440</v>
      </c>
      <c r="E2141" s="2">
        <v>4737177</v>
      </c>
    </row>
    <row r="2142" spans="1:5" x14ac:dyDescent="0.25">
      <c r="A2142" s="4">
        <v>41994.899039351854</v>
      </c>
      <c r="B2142" s="2" t="s">
        <v>1431</v>
      </c>
      <c r="C2142" s="2" t="s">
        <v>63</v>
      </c>
      <c r="D2142" s="2" t="str">
        <f>"9781400827398"</f>
        <v>9781400827398</v>
      </c>
      <c r="E2142" s="2">
        <v>445450</v>
      </c>
    </row>
    <row r="2143" spans="1:5" x14ac:dyDescent="0.25">
      <c r="A2143" s="4">
        <v>41913.382210648146</v>
      </c>
      <c r="B2143" s="2" t="s">
        <v>3544</v>
      </c>
      <c r="C2143" s="2" t="s">
        <v>28</v>
      </c>
      <c r="D2143" s="2" t="str">
        <f>"9780253004550"</f>
        <v>9780253004550</v>
      </c>
      <c r="E2143" s="2">
        <v>557027</v>
      </c>
    </row>
    <row r="2144" spans="1:5" x14ac:dyDescent="0.25">
      <c r="A2144" s="4">
        <v>41975.876898148148</v>
      </c>
      <c r="B2144" s="2" t="s">
        <v>2762</v>
      </c>
      <c r="C2144" s="2" t="s">
        <v>5</v>
      </c>
      <c r="D2144" s="2" t="str">
        <f>"9780857004260"</f>
        <v>9780857004260</v>
      </c>
      <c r="E2144" s="2">
        <v>679278</v>
      </c>
    </row>
    <row r="2145" spans="1:5" x14ac:dyDescent="0.25">
      <c r="A2145" s="4">
        <v>41994.901921296296</v>
      </c>
      <c r="B2145" s="2" t="s">
        <v>991</v>
      </c>
      <c r="C2145" s="2" t="s">
        <v>119</v>
      </c>
      <c r="D2145" s="2" t="str">
        <f>"9780520930063"</f>
        <v>9780520930063</v>
      </c>
      <c r="E2145" s="2">
        <v>224744</v>
      </c>
    </row>
    <row r="2146" spans="1:5" x14ac:dyDescent="0.25">
      <c r="A2146" s="4">
        <v>41976.596990740742</v>
      </c>
      <c r="B2146" s="2" t="s">
        <v>2669</v>
      </c>
      <c r="C2146" s="2" t="s">
        <v>119</v>
      </c>
      <c r="D2146" s="2" t="str">
        <f>"9780520950061"</f>
        <v>9780520950061</v>
      </c>
      <c r="E2146" s="2">
        <v>730035</v>
      </c>
    </row>
    <row r="2147" spans="1:5" x14ac:dyDescent="0.25">
      <c r="A2147" s="4">
        <v>41917.483749999999</v>
      </c>
      <c r="B2147" s="2" t="s">
        <v>3464</v>
      </c>
      <c r="C2147" s="2" t="s">
        <v>5</v>
      </c>
      <c r="D2147" s="2" t="str">
        <f>"9780857005700"</f>
        <v>9780857005700</v>
      </c>
      <c r="E2147" s="2">
        <v>1564595</v>
      </c>
    </row>
    <row r="2148" spans="1:5" x14ac:dyDescent="0.25">
      <c r="A2148" s="4">
        <v>41914.609571759262</v>
      </c>
      <c r="B2148" s="2" t="s">
        <v>3512</v>
      </c>
      <c r="C2148" s="2" t="s">
        <v>26</v>
      </c>
      <c r="D2148" s="2" t="str">
        <f>"9781118169261"</f>
        <v>9781118169261</v>
      </c>
      <c r="E2148" s="2">
        <v>817432</v>
      </c>
    </row>
    <row r="2149" spans="1:5" x14ac:dyDescent="0.25">
      <c r="A2149" s="4">
        <v>41911.653645833336</v>
      </c>
      <c r="B2149" s="2" t="s">
        <v>3592</v>
      </c>
      <c r="C2149" s="2" t="s">
        <v>7</v>
      </c>
      <c r="D2149" s="2" t="str">
        <f>"9781847876317"</f>
        <v>9781847876317</v>
      </c>
      <c r="E2149" s="2">
        <v>334477</v>
      </c>
    </row>
    <row r="2150" spans="1:5" x14ac:dyDescent="0.25">
      <c r="A2150" s="4">
        <v>41975.726898148147</v>
      </c>
      <c r="B2150" s="2" t="s">
        <v>2798</v>
      </c>
      <c r="C2150" s="2" t="s">
        <v>5</v>
      </c>
      <c r="D2150" s="2" t="str">
        <f>"9781846421389"</f>
        <v>9781846421389</v>
      </c>
      <c r="E2150" s="2">
        <v>290687</v>
      </c>
    </row>
    <row r="2151" spans="1:5" x14ac:dyDescent="0.25">
      <c r="A2151" s="4">
        <v>41994.889907407407</v>
      </c>
      <c r="B2151" s="2" t="s">
        <v>1859</v>
      </c>
      <c r="C2151" s="2" t="s">
        <v>72</v>
      </c>
      <c r="D2151" s="2" t="str">
        <f>"9780748633241"</f>
        <v>9780748633241</v>
      </c>
      <c r="E2151" s="2">
        <v>767129</v>
      </c>
    </row>
    <row r="2152" spans="1:5" x14ac:dyDescent="0.25">
      <c r="A2152" s="4">
        <v>41994.902002314811</v>
      </c>
      <c r="B2152" s="2" t="s">
        <v>690</v>
      </c>
      <c r="C2152" s="2" t="s">
        <v>119</v>
      </c>
      <c r="D2152" s="2" t="str">
        <f>"9780520957114"</f>
        <v>9780520957114</v>
      </c>
      <c r="E2152" s="2">
        <v>1463631</v>
      </c>
    </row>
    <row r="2153" spans="1:5" x14ac:dyDescent="0.25">
      <c r="A2153" s="4">
        <v>41994.896157407406</v>
      </c>
      <c r="B2153" s="2" t="s">
        <v>1492</v>
      </c>
      <c r="C2153" s="2" t="s">
        <v>28</v>
      </c>
      <c r="D2153" s="2" t="str">
        <f>"9780253007933"</f>
        <v>9780253007933</v>
      </c>
      <c r="E2153" s="2">
        <v>1127898</v>
      </c>
    </row>
    <row r="2154" spans="1:5" x14ac:dyDescent="0.25">
      <c r="A2154" s="4">
        <v>41994.896122685182</v>
      </c>
      <c r="B2154" s="2" t="s">
        <v>1553</v>
      </c>
      <c r="C2154" s="2" t="s">
        <v>28</v>
      </c>
      <c r="D2154" s="2" t="str">
        <f>"9780253005496"</f>
        <v>9780253005496</v>
      </c>
      <c r="E2154" s="2">
        <v>670304</v>
      </c>
    </row>
    <row r="2155" spans="1:5" x14ac:dyDescent="0.25">
      <c r="A2155" s="4">
        <v>41994.885046296295</v>
      </c>
      <c r="B2155" s="2" t="s">
        <v>1962</v>
      </c>
      <c r="C2155" s="2" t="s">
        <v>18</v>
      </c>
      <c r="D2155" s="2" t="str">
        <f>"9781408174821"</f>
        <v>9781408174821</v>
      </c>
      <c r="E2155" s="2">
        <v>1630369</v>
      </c>
    </row>
    <row r="2156" spans="1:5" x14ac:dyDescent="0.25">
      <c r="A2156" s="4">
        <v>41994.896087962959</v>
      </c>
      <c r="B2156" s="2" t="s">
        <v>1603</v>
      </c>
      <c r="C2156" s="2" t="s">
        <v>28</v>
      </c>
      <c r="D2156" s="2" t="str">
        <f>"9780253112361"</f>
        <v>9780253112361</v>
      </c>
      <c r="E2156" s="2">
        <v>313175</v>
      </c>
    </row>
    <row r="2157" spans="1:5" x14ac:dyDescent="0.25">
      <c r="A2157" s="4">
        <v>41994.905636574076</v>
      </c>
      <c r="B2157" s="2" t="s">
        <v>446</v>
      </c>
      <c r="C2157" s="2" t="s">
        <v>96</v>
      </c>
      <c r="D2157" s="2" t="str">
        <f>"9781469612614"</f>
        <v>9781469612614</v>
      </c>
      <c r="E2157" s="2">
        <v>1663521</v>
      </c>
    </row>
    <row r="2158" spans="1:5" x14ac:dyDescent="0.25">
      <c r="A2158" s="4">
        <v>41994.899143518516</v>
      </c>
      <c r="B2158" s="2" t="s">
        <v>1083</v>
      </c>
      <c r="C2158" s="2" t="s">
        <v>63</v>
      </c>
      <c r="D2158" s="2" t="str">
        <f>"9781400851256"</f>
        <v>9781400851256</v>
      </c>
      <c r="E2158" s="2">
        <v>1604280</v>
      </c>
    </row>
    <row r="2159" spans="1:5" x14ac:dyDescent="0.25">
      <c r="A2159" s="4">
        <v>41994.889930555553</v>
      </c>
      <c r="B2159" s="2" t="s">
        <v>1816</v>
      </c>
      <c r="C2159" s="2" t="s">
        <v>72</v>
      </c>
      <c r="D2159" s="2" t="str">
        <f>"9780748678297"</f>
        <v>9780748678297</v>
      </c>
      <c r="E2159" s="2">
        <v>1661286</v>
      </c>
    </row>
    <row r="2160" spans="1:5" x14ac:dyDescent="0.25">
      <c r="A2160" s="4">
        <v>43203.625590277778</v>
      </c>
      <c r="B2160" s="2" t="s">
        <v>55</v>
      </c>
      <c r="C2160" s="2" t="s">
        <v>7</v>
      </c>
      <c r="D2160" s="2" t="str">
        <f>"9789352805013"</f>
        <v>9789352805013</v>
      </c>
      <c r="E2160" s="2">
        <v>5131485</v>
      </c>
    </row>
    <row r="2161" spans="1:5" x14ac:dyDescent="0.25">
      <c r="A2161" s="4">
        <v>41994.899131944447</v>
      </c>
      <c r="B2161" s="2" t="s">
        <v>1128</v>
      </c>
      <c r="C2161" s="2" t="s">
        <v>63</v>
      </c>
      <c r="D2161" s="2" t="str">
        <f>"9781400848584"</f>
        <v>9781400848584</v>
      </c>
      <c r="E2161" s="2">
        <v>1458114</v>
      </c>
    </row>
    <row r="2162" spans="1:5" x14ac:dyDescent="0.25">
      <c r="A2162" s="4">
        <v>41989.33221064815</v>
      </c>
      <c r="B2162" s="2" t="s">
        <v>2267</v>
      </c>
      <c r="C2162" s="2" t="s">
        <v>63</v>
      </c>
      <c r="D2162" s="2" t="str">
        <f>"9781400844784"</f>
        <v>9781400844784</v>
      </c>
      <c r="E2162" s="2">
        <v>1051477</v>
      </c>
    </row>
    <row r="2163" spans="1:5" x14ac:dyDescent="0.25">
      <c r="A2163" s="4">
        <v>41905.889247685183</v>
      </c>
      <c r="B2163" s="2" t="s">
        <v>3724</v>
      </c>
      <c r="C2163" s="2" t="s">
        <v>36</v>
      </c>
      <c r="D2163" s="2" t="str">
        <f>"9780786454099"</f>
        <v>9780786454099</v>
      </c>
      <c r="E2163" s="2">
        <v>1593628</v>
      </c>
    </row>
    <row r="2164" spans="1:5" x14ac:dyDescent="0.25">
      <c r="A2164" s="4">
        <v>41994.905590277776</v>
      </c>
      <c r="B2164" s="2" t="s">
        <v>562</v>
      </c>
      <c r="C2164" s="2" t="s">
        <v>96</v>
      </c>
      <c r="D2164" s="2" t="str">
        <f>"9780807877982"</f>
        <v>9780807877982</v>
      </c>
      <c r="E2164" s="2">
        <v>690709</v>
      </c>
    </row>
    <row r="2165" spans="1:5" x14ac:dyDescent="0.25">
      <c r="A2165" s="4">
        <v>41994.902013888888</v>
      </c>
      <c r="B2165" s="2" t="s">
        <v>671</v>
      </c>
      <c r="C2165" s="2" t="s">
        <v>119</v>
      </c>
      <c r="D2165" s="2" t="str">
        <f>"9780520957633"</f>
        <v>9780520957633</v>
      </c>
      <c r="E2165" s="2">
        <v>1639080</v>
      </c>
    </row>
    <row r="2166" spans="1:5" x14ac:dyDescent="0.25">
      <c r="A2166" s="4">
        <v>41981.858472222222</v>
      </c>
      <c r="B2166" s="2" t="s">
        <v>2462</v>
      </c>
      <c r="C2166" s="2" t="s">
        <v>119</v>
      </c>
      <c r="D2166" s="2" t="str">
        <f>"9780520935969"</f>
        <v>9780520935969</v>
      </c>
      <c r="E2166" s="2">
        <v>223661</v>
      </c>
    </row>
    <row r="2167" spans="1:5" x14ac:dyDescent="0.25">
      <c r="A2167" s="4">
        <v>41994.899143518516</v>
      </c>
      <c r="B2167" s="2" t="s">
        <v>1099</v>
      </c>
      <c r="C2167" s="2" t="s">
        <v>63</v>
      </c>
      <c r="D2167" s="2" t="str">
        <f>"9781400850853"</f>
        <v>9781400850853</v>
      </c>
      <c r="E2167" s="2">
        <v>1573484</v>
      </c>
    </row>
    <row r="2168" spans="1:5" x14ac:dyDescent="0.25">
      <c r="A2168" s="4">
        <v>41994.905636574076</v>
      </c>
      <c r="B2168" s="2" t="s">
        <v>440</v>
      </c>
      <c r="C2168" s="2" t="s">
        <v>96</v>
      </c>
      <c r="D2168" s="2" t="str">
        <f>"9781469615608"</f>
        <v>9781469615608</v>
      </c>
      <c r="E2168" s="2">
        <v>1663553</v>
      </c>
    </row>
    <row r="2169" spans="1:5" x14ac:dyDescent="0.25">
      <c r="A2169" s="4">
        <v>41994.905624999999</v>
      </c>
      <c r="B2169" s="2" t="s">
        <v>463</v>
      </c>
      <c r="C2169" s="2" t="s">
        <v>96</v>
      </c>
      <c r="D2169" s="2" t="str">
        <f>"9781469616711"</f>
        <v>9781469616711</v>
      </c>
      <c r="E2169" s="2">
        <v>1663479</v>
      </c>
    </row>
    <row r="2170" spans="1:5" x14ac:dyDescent="0.25">
      <c r="A2170" s="4">
        <v>41902.667083333334</v>
      </c>
      <c r="B2170" s="2" t="s">
        <v>3803</v>
      </c>
      <c r="C2170" s="2" t="s">
        <v>18</v>
      </c>
      <c r="D2170" s="2" t="str">
        <f>"9781472537614"</f>
        <v>9781472537614</v>
      </c>
      <c r="E2170" s="2">
        <v>1426794</v>
      </c>
    </row>
    <row r="2171" spans="1:5" x14ac:dyDescent="0.25">
      <c r="A2171" s="4">
        <v>41920.632407407407</v>
      </c>
      <c r="B2171" s="2" t="s">
        <v>3364</v>
      </c>
      <c r="C2171" s="2" t="s">
        <v>160</v>
      </c>
      <c r="D2171" s="2" t="str">
        <f>"9780764517877"</f>
        <v>9780764517877</v>
      </c>
      <c r="E2171" s="2">
        <v>469998</v>
      </c>
    </row>
    <row r="2172" spans="1:5" x14ac:dyDescent="0.25">
      <c r="A2172" s="4">
        <v>41994.905578703707</v>
      </c>
      <c r="B2172" s="2" t="s">
        <v>608</v>
      </c>
      <c r="C2172" s="2" t="s">
        <v>424</v>
      </c>
      <c r="D2172" s="2" t="str">
        <f>"9780807876671"</f>
        <v>9780807876671</v>
      </c>
      <c r="E2172" s="2">
        <v>427148</v>
      </c>
    </row>
    <row r="2173" spans="1:5" x14ac:dyDescent="0.25">
      <c r="A2173" s="4">
        <v>41994.899062500001</v>
      </c>
      <c r="B2173" s="2" t="s">
        <v>1379</v>
      </c>
      <c r="C2173" s="2" t="s">
        <v>63</v>
      </c>
      <c r="D2173" s="2" t="str">
        <f>"9781400826681"</f>
        <v>9781400826681</v>
      </c>
      <c r="E2173" s="2">
        <v>537648</v>
      </c>
    </row>
    <row r="2174" spans="1:5" x14ac:dyDescent="0.25">
      <c r="A2174" s="4">
        <v>41933.33152777778</v>
      </c>
      <c r="B2174" s="2" t="s">
        <v>3100</v>
      </c>
      <c r="C2174" s="2" t="s">
        <v>96</v>
      </c>
      <c r="D2174" s="2" t="str">
        <f>"9780807882610"</f>
        <v>9780807882610</v>
      </c>
      <c r="E2174" s="2">
        <v>878303</v>
      </c>
    </row>
    <row r="2175" spans="1:5" x14ac:dyDescent="0.25">
      <c r="A2175" s="4">
        <v>41994.889826388891</v>
      </c>
      <c r="B2175" s="2" t="s">
        <v>1929</v>
      </c>
      <c r="C2175" s="2" t="s">
        <v>72</v>
      </c>
      <c r="D2175" s="2" t="str">
        <f>"9780748629350"</f>
        <v>9780748629350</v>
      </c>
      <c r="E2175" s="2">
        <v>282270</v>
      </c>
    </row>
    <row r="2176" spans="1:5" x14ac:dyDescent="0.25">
      <c r="A2176" s="4">
        <v>41994.905590277776</v>
      </c>
      <c r="B2176" s="2" t="s">
        <v>556</v>
      </c>
      <c r="C2176" s="2" t="s">
        <v>424</v>
      </c>
      <c r="D2176" s="2" t="str">
        <f>"9780807869055"</f>
        <v>9780807869055</v>
      </c>
      <c r="E2176" s="2">
        <v>732137</v>
      </c>
    </row>
    <row r="2177" spans="1:5" x14ac:dyDescent="0.25">
      <c r="A2177" s="4">
        <v>41994.896122685182</v>
      </c>
      <c r="B2177" s="2" t="s">
        <v>1554</v>
      </c>
      <c r="C2177" s="2" t="s">
        <v>28</v>
      </c>
      <c r="D2177" s="2" t="str">
        <f>"9780253005489"</f>
        <v>9780253005489</v>
      </c>
      <c r="E2177" s="2">
        <v>670303</v>
      </c>
    </row>
    <row r="2178" spans="1:5" x14ac:dyDescent="0.25">
      <c r="A2178" s="4">
        <v>41934.63826388889</v>
      </c>
      <c r="B2178" s="2" t="s">
        <v>3055</v>
      </c>
      <c r="C2178" s="2" t="s">
        <v>63</v>
      </c>
      <c r="D2178" s="2" t="str">
        <f>"9781400837373"</f>
        <v>9781400837373</v>
      </c>
      <c r="E2178" s="2">
        <v>646760</v>
      </c>
    </row>
    <row r="2179" spans="1:5" x14ac:dyDescent="0.25">
      <c r="A2179" s="4">
        <v>41994.905624999999</v>
      </c>
      <c r="B2179" s="2" t="s">
        <v>476</v>
      </c>
      <c r="C2179" s="2" t="s">
        <v>96</v>
      </c>
      <c r="D2179" s="2" t="str">
        <f>"9781469602103"</f>
        <v>9781469602103</v>
      </c>
      <c r="E2179" s="2">
        <v>1120529</v>
      </c>
    </row>
    <row r="2180" spans="1:5" x14ac:dyDescent="0.25">
      <c r="A2180" s="4">
        <v>41994.896087962959</v>
      </c>
      <c r="B2180" s="2" t="s">
        <v>1599</v>
      </c>
      <c r="C2180" s="2" t="s">
        <v>28</v>
      </c>
      <c r="D2180" s="2" t="str">
        <f>"9780253116871"</f>
        <v>9780253116871</v>
      </c>
      <c r="E2180" s="2">
        <v>329983</v>
      </c>
    </row>
    <row r="2181" spans="1:5" x14ac:dyDescent="0.25">
      <c r="A2181" s="4">
        <v>41994.905578703707</v>
      </c>
      <c r="B2181" s="2" t="s">
        <v>590</v>
      </c>
      <c r="C2181" s="2" t="s">
        <v>424</v>
      </c>
      <c r="D2181" s="2" t="str">
        <f>"9780807899700"</f>
        <v>9780807899700</v>
      </c>
      <c r="E2181" s="2">
        <v>605902</v>
      </c>
    </row>
    <row r="2182" spans="1:5" x14ac:dyDescent="0.25">
      <c r="A2182" s="4">
        <v>41975.991365740738</v>
      </c>
      <c r="B2182" s="2" t="s">
        <v>2742</v>
      </c>
      <c r="C2182" s="2" t="s">
        <v>18</v>
      </c>
      <c r="D2182" s="2" t="str">
        <f>"9781441183095"</f>
        <v>9781441183095</v>
      </c>
      <c r="E2182" s="2">
        <v>436559</v>
      </c>
    </row>
    <row r="2183" spans="1:5" x14ac:dyDescent="0.25">
      <c r="A2183" s="4">
        <v>41985.597754629627</v>
      </c>
      <c r="B2183" s="2" t="s">
        <v>2332</v>
      </c>
      <c r="C2183" s="2" t="s">
        <v>7</v>
      </c>
      <c r="D2183" s="2" t="str">
        <f>"9781412995375"</f>
        <v>9781412995375</v>
      </c>
      <c r="E2183" s="2">
        <v>996658</v>
      </c>
    </row>
    <row r="2184" spans="1:5" x14ac:dyDescent="0.25">
      <c r="A2184" s="4">
        <v>41974.621631944443</v>
      </c>
      <c r="B2184" s="2" t="s">
        <v>2944</v>
      </c>
      <c r="C2184" s="2" t="s">
        <v>2170</v>
      </c>
      <c r="D2184" s="2" t="str">
        <f>"9781783601967"</f>
        <v>9781783601967</v>
      </c>
      <c r="E2184" s="2">
        <v>1581172</v>
      </c>
    </row>
    <row r="2185" spans="1:5" x14ac:dyDescent="0.25">
      <c r="A2185" s="4">
        <v>41994.889826388891</v>
      </c>
      <c r="B2185" s="2" t="s">
        <v>1924</v>
      </c>
      <c r="C2185" s="2" t="s">
        <v>72</v>
      </c>
      <c r="D2185" s="2" t="str">
        <f>"9780748632350"</f>
        <v>9780748632350</v>
      </c>
      <c r="E2185" s="2">
        <v>334898</v>
      </c>
    </row>
    <row r="2186" spans="1:5" x14ac:dyDescent="0.25">
      <c r="A2186" s="4">
        <v>41981.03943287037</v>
      </c>
      <c r="B2186" s="2" t="s">
        <v>2487</v>
      </c>
      <c r="C2186" s="2" t="s">
        <v>26</v>
      </c>
      <c r="D2186" s="2" t="str">
        <f>"9781405144742"</f>
        <v>9781405144742</v>
      </c>
      <c r="E2186" s="2">
        <v>351307</v>
      </c>
    </row>
    <row r="2187" spans="1:5" x14ac:dyDescent="0.25">
      <c r="A2187" s="4">
        <v>41934.854317129626</v>
      </c>
      <c r="B2187" s="2" t="s">
        <v>3046</v>
      </c>
      <c r="C2187" s="2" t="s">
        <v>26</v>
      </c>
      <c r="D2187" s="2" t="str">
        <f>"9780471436881"</f>
        <v>9780471436881</v>
      </c>
      <c r="E2187" s="2">
        <v>118021</v>
      </c>
    </row>
    <row r="2188" spans="1:5" x14ac:dyDescent="0.25">
      <c r="A2188" s="4">
        <v>41984.750567129631</v>
      </c>
      <c r="B2188" s="2" t="s">
        <v>2351</v>
      </c>
      <c r="C2188" s="2" t="s">
        <v>7</v>
      </c>
      <c r="D2188" s="2" t="str">
        <f>"9781848604766"</f>
        <v>9781848604766</v>
      </c>
      <c r="E2188" s="2">
        <v>354889</v>
      </c>
    </row>
    <row r="2189" spans="1:5" x14ac:dyDescent="0.25">
      <c r="A2189" s="4">
        <v>41994.901990740742</v>
      </c>
      <c r="B2189" s="2" t="s">
        <v>727</v>
      </c>
      <c r="C2189" s="2" t="s">
        <v>119</v>
      </c>
      <c r="D2189" s="2" t="str">
        <f>"9780520954908"</f>
        <v>9780520954908</v>
      </c>
      <c r="E2189" s="2">
        <v>1112138</v>
      </c>
    </row>
    <row r="2190" spans="1:5" x14ac:dyDescent="0.25">
      <c r="A2190" s="4">
        <v>41915.644120370373</v>
      </c>
      <c r="B2190" s="2" t="s">
        <v>3492</v>
      </c>
      <c r="C2190" s="2" t="s">
        <v>16</v>
      </c>
      <c r="D2190" s="2" t="str">
        <f>"9781593859411"</f>
        <v>9781593859411</v>
      </c>
      <c r="E2190" s="2">
        <v>330582</v>
      </c>
    </row>
    <row r="2191" spans="1:5" x14ac:dyDescent="0.25">
      <c r="A2191" s="4">
        <v>41875.39571759259</v>
      </c>
      <c r="B2191" s="2" t="s">
        <v>3940</v>
      </c>
      <c r="C2191" s="2" t="s">
        <v>36</v>
      </c>
      <c r="D2191" s="2" t="str">
        <f>"9781476613253"</f>
        <v>9781476613253</v>
      </c>
      <c r="E2191" s="2">
        <v>1593733</v>
      </c>
    </row>
    <row r="2192" spans="1:5" x14ac:dyDescent="0.25">
      <c r="A2192" s="4">
        <v>41994.896099537036</v>
      </c>
      <c r="B2192" s="2" t="s">
        <v>1591</v>
      </c>
      <c r="C2192" s="2" t="s">
        <v>28</v>
      </c>
      <c r="D2192" s="2" t="str">
        <f>"9780253003362"</f>
        <v>9780253003362</v>
      </c>
      <c r="E2192" s="2">
        <v>455788</v>
      </c>
    </row>
    <row r="2193" spans="1:5" x14ac:dyDescent="0.25">
      <c r="A2193" s="4">
        <v>41994.896111111113</v>
      </c>
      <c r="B2193" s="2" t="s">
        <v>1583</v>
      </c>
      <c r="C2193" s="2" t="s">
        <v>28</v>
      </c>
      <c r="D2193" s="2" t="str">
        <f>"9780253004000"</f>
        <v>9780253004000</v>
      </c>
      <c r="E2193" s="2">
        <v>501431</v>
      </c>
    </row>
    <row r="2194" spans="1:5" x14ac:dyDescent="0.25">
      <c r="A2194" s="4">
        <v>41994.905624999999</v>
      </c>
      <c r="B2194" s="2" t="s">
        <v>474</v>
      </c>
      <c r="C2194" s="2" t="s">
        <v>96</v>
      </c>
      <c r="D2194" s="2" t="str">
        <f>"9781469608006"</f>
        <v>9781469608006</v>
      </c>
      <c r="E2194" s="2">
        <v>1190735</v>
      </c>
    </row>
    <row r="2195" spans="1:5" x14ac:dyDescent="0.25">
      <c r="A2195" s="4">
        <v>41994.905624999999</v>
      </c>
      <c r="B2195" s="2" t="s">
        <v>464</v>
      </c>
      <c r="C2195" s="2" t="s">
        <v>96</v>
      </c>
      <c r="D2195" s="2" t="str">
        <f>"9781469616568"</f>
        <v>9781469616568</v>
      </c>
      <c r="E2195" s="2">
        <v>1663478</v>
      </c>
    </row>
    <row r="2196" spans="1:5" x14ac:dyDescent="0.25">
      <c r="A2196" s="4">
        <v>41926.913958333331</v>
      </c>
      <c r="B2196" s="2" t="s">
        <v>3232</v>
      </c>
      <c r="C2196" s="2" t="s">
        <v>424</v>
      </c>
      <c r="D2196" s="2" t="str">
        <f>"9780807877166"</f>
        <v>9780807877166</v>
      </c>
      <c r="E2196" s="2">
        <v>879987</v>
      </c>
    </row>
    <row r="2197" spans="1:5" x14ac:dyDescent="0.25">
      <c r="A2197" s="4">
        <v>41994.905578703707</v>
      </c>
      <c r="B2197" s="2" t="s">
        <v>583</v>
      </c>
      <c r="C2197" s="2" t="s">
        <v>424</v>
      </c>
      <c r="D2197" s="2" t="str">
        <f>"9780807898307"</f>
        <v>9780807898307</v>
      </c>
      <c r="E2197" s="2">
        <v>605934</v>
      </c>
    </row>
    <row r="2198" spans="1:5" x14ac:dyDescent="0.25">
      <c r="A2198" s="4">
        <v>41994.905590277776</v>
      </c>
      <c r="B2198" s="2" t="s">
        <v>565</v>
      </c>
      <c r="C2198" s="2" t="s">
        <v>424</v>
      </c>
      <c r="D2198" s="2" t="str">
        <f>"9780807877852"</f>
        <v>9780807877852</v>
      </c>
      <c r="E2198" s="2">
        <v>690706</v>
      </c>
    </row>
    <row r="2199" spans="1:5" x14ac:dyDescent="0.25">
      <c r="A2199" s="4">
        <v>41994.905624999999</v>
      </c>
      <c r="B2199" s="2" t="s">
        <v>479</v>
      </c>
      <c r="C2199" s="2" t="s">
        <v>424</v>
      </c>
      <c r="D2199" s="2" t="str">
        <f>"9780807869949"</f>
        <v>9780807869949</v>
      </c>
      <c r="E2199" s="2">
        <v>1114606</v>
      </c>
    </row>
    <row r="2200" spans="1:5" x14ac:dyDescent="0.25">
      <c r="A2200" s="4">
        <v>41994.905613425923</v>
      </c>
      <c r="B2200" s="2" t="s">
        <v>483</v>
      </c>
      <c r="C2200" s="2" t="s">
        <v>424</v>
      </c>
      <c r="D2200" s="2" t="str">
        <f>"9780807837436"</f>
        <v>9780807837436</v>
      </c>
      <c r="E2200" s="2">
        <v>1078451</v>
      </c>
    </row>
    <row r="2201" spans="1:5" x14ac:dyDescent="0.25">
      <c r="A2201" s="4">
        <v>41974.457488425927</v>
      </c>
      <c r="B2201" s="2" t="s">
        <v>2983</v>
      </c>
      <c r="C2201" s="2" t="s">
        <v>2741</v>
      </c>
      <c r="D2201" s="2" t="str">
        <f>"9781444317206"</f>
        <v>9781444317206</v>
      </c>
      <c r="E2201" s="2">
        <v>485655</v>
      </c>
    </row>
    <row r="2202" spans="1:5" x14ac:dyDescent="0.25">
      <c r="A2202" s="4">
        <v>41909.401273148149</v>
      </c>
      <c r="B2202" s="2" t="s">
        <v>3633</v>
      </c>
      <c r="C2202" s="2" t="s">
        <v>63</v>
      </c>
      <c r="D2202" s="2" t="str">
        <f>"9781400838226"</f>
        <v>9781400838226</v>
      </c>
      <c r="E2202" s="2">
        <v>664625</v>
      </c>
    </row>
    <row r="2203" spans="1:5" x14ac:dyDescent="0.25">
      <c r="A2203" s="4">
        <v>41930.98578703704</v>
      </c>
      <c r="B2203" s="2" t="s">
        <v>3147</v>
      </c>
      <c r="C2203" s="2" t="s">
        <v>16</v>
      </c>
      <c r="D2203" s="2" t="str">
        <f>"9781606236079"</f>
        <v>9781606236079</v>
      </c>
      <c r="E2203" s="2">
        <v>515881</v>
      </c>
    </row>
    <row r="2204" spans="1:5" x14ac:dyDescent="0.25">
      <c r="A2204" s="4">
        <v>41994.901990740742</v>
      </c>
      <c r="B2204" s="2" t="s">
        <v>730</v>
      </c>
      <c r="C2204" s="2" t="s">
        <v>119</v>
      </c>
      <c r="D2204" s="2" t="str">
        <f>"9780520955325"</f>
        <v>9780520955325</v>
      </c>
      <c r="E2204" s="2">
        <v>1105926</v>
      </c>
    </row>
    <row r="2205" spans="1:5" x14ac:dyDescent="0.25">
      <c r="A2205" s="4">
        <v>41976.731249999997</v>
      </c>
      <c r="B2205" s="2" t="s">
        <v>2640</v>
      </c>
      <c r="C2205" s="2" t="s">
        <v>2404</v>
      </c>
      <c r="D2205" s="2" t="str">
        <f>"9780335236749"</f>
        <v>9780335236749</v>
      </c>
      <c r="E2205" s="2">
        <v>409757</v>
      </c>
    </row>
    <row r="2206" spans="1:5" x14ac:dyDescent="0.25">
      <c r="A2206" s="4">
        <v>41994.885046296295</v>
      </c>
      <c r="B2206" s="2" t="s">
        <v>1992</v>
      </c>
      <c r="C2206" s="2" t="s">
        <v>1934</v>
      </c>
      <c r="D2206" s="2" t="str">
        <f>"9781441172730"</f>
        <v>9781441172730</v>
      </c>
      <c r="E2206" s="2">
        <v>1394935</v>
      </c>
    </row>
    <row r="2207" spans="1:5" x14ac:dyDescent="0.25">
      <c r="A2207" s="4">
        <v>41994.901944444442</v>
      </c>
      <c r="B2207" s="2" t="s">
        <v>901</v>
      </c>
      <c r="C2207" s="2" t="s">
        <v>119</v>
      </c>
      <c r="D2207" s="2" t="str">
        <f>"9780520947832"</f>
        <v>9780520947832</v>
      </c>
      <c r="E2207" s="2">
        <v>613129</v>
      </c>
    </row>
    <row r="2208" spans="1:5" x14ac:dyDescent="0.25">
      <c r="A2208" s="4">
        <v>41994.896134259259</v>
      </c>
      <c r="B2208" s="2" t="s">
        <v>1514</v>
      </c>
      <c r="C2208" s="2" t="s">
        <v>28</v>
      </c>
      <c r="D2208" s="2" t="str">
        <f>"9780253006011"</f>
        <v>9780253006011</v>
      </c>
      <c r="E2208" s="2">
        <v>816857</v>
      </c>
    </row>
    <row r="2209" spans="1:5" x14ac:dyDescent="0.25">
      <c r="A2209" s="4">
        <v>41994.905590277776</v>
      </c>
      <c r="B2209" s="2" t="s">
        <v>569</v>
      </c>
      <c r="C2209" s="2" t="s">
        <v>424</v>
      </c>
      <c r="D2209" s="2" t="str">
        <f>"9780807877890"</f>
        <v>9780807877890</v>
      </c>
      <c r="E2209" s="2">
        <v>680722</v>
      </c>
    </row>
    <row r="2210" spans="1:5" x14ac:dyDescent="0.25">
      <c r="A2210" s="4">
        <v>41994.889930555553</v>
      </c>
      <c r="B2210" s="2" t="s">
        <v>1808</v>
      </c>
      <c r="C2210" s="2" t="s">
        <v>72</v>
      </c>
      <c r="D2210" s="2" t="str">
        <f>"9780748682027"</f>
        <v>9780748682027</v>
      </c>
      <c r="E2210" s="2">
        <v>1698587</v>
      </c>
    </row>
    <row r="2211" spans="1:5" x14ac:dyDescent="0.25">
      <c r="A2211" s="4">
        <v>41994.899050925924</v>
      </c>
      <c r="B2211" s="2" t="s">
        <v>1422</v>
      </c>
      <c r="C2211" s="2" t="s">
        <v>63</v>
      </c>
      <c r="D2211" s="2" t="str">
        <f>"9781400826247"</f>
        <v>9781400826247</v>
      </c>
      <c r="E2211" s="2">
        <v>445554</v>
      </c>
    </row>
    <row r="2212" spans="1:5" x14ac:dyDescent="0.25">
      <c r="A2212" s="4">
        <v>41988.444189814814</v>
      </c>
      <c r="B2212" s="2" t="s">
        <v>2292</v>
      </c>
      <c r="C2212" s="2" t="s">
        <v>74</v>
      </c>
      <c r="D2212" s="2" t="str">
        <f>"9781441102393"</f>
        <v>9781441102393</v>
      </c>
      <c r="E2212" s="2">
        <v>1190699</v>
      </c>
    </row>
    <row r="2213" spans="1:5" x14ac:dyDescent="0.25">
      <c r="A2213" s="4">
        <v>41929.811354166668</v>
      </c>
      <c r="B2213" s="2" t="s">
        <v>3163</v>
      </c>
      <c r="C2213" s="2" t="s">
        <v>63</v>
      </c>
      <c r="D2213" s="2" t="str">
        <f>"9781400849222"</f>
        <v>9781400849222</v>
      </c>
      <c r="E2213" s="2">
        <v>1383487</v>
      </c>
    </row>
    <row r="2214" spans="1:5" x14ac:dyDescent="0.25">
      <c r="A2214" s="4">
        <v>41994.884988425925</v>
      </c>
      <c r="B2214" s="2" t="s">
        <v>2133</v>
      </c>
      <c r="C2214" s="2" t="s">
        <v>18</v>
      </c>
      <c r="D2214" s="2" t="str">
        <f>"9781441171665"</f>
        <v>9781441171665</v>
      </c>
      <c r="E2214" s="2">
        <v>601553</v>
      </c>
    </row>
    <row r="2215" spans="1:5" x14ac:dyDescent="0.25">
      <c r="A2215" s="4">
        <v>41994.889872685184</v>
      </c>
      <c r="B2215" s="2" t="s">
        <v>1894</v>
      </c>
      <c r="C2215" s="2" t="s">
        <v>72</v>
      </c>
      <c r="D2215" s="2" t="str">
        <f>"9780748642434"</f>
        <v>9780748642434</v>
      </c>
      <c r="E2215" s="2">
        <v>564518</v>
      </c>
    </row>
    <row r="2216" spans="1:5" x14ac:dyDescent="0.25">
      <c r="A2216" s="4">
        <v>41976.56386574074</v>
      </c>
      <c r="B2216" s="2" t="s">
        <v>2682</v>
      </c>
      <c r="C2216" s="2" t="s">
        <v>63</v>
      </c>
      <c r="D2216" s="2" t="str">
        <f>"9781400831661"</f>
        <v>9781400831661</v>
      </c>
      <c r="E2216" s="2">
        <v>483570</v>
      </c>
    </row>
    <row r="2217" spans="1:5" x14ac:dyDescent="0.25">
      <c r="A2217" s="4">
        <v>41994.905578703707</v>
      </c>
      <c r="B2217" s="2" t="s">
        <v>593</v>
      </c>
      <c r="C2217" s="2" t="s">
        <v>424</v>
      </c>
      <c r="D2217" s="2" t="str">
        <f>"9780807895986"</f>
        <v>9780807895986</v>
      </c>
      <c r="E2217" s="2">
        <v>565700</v>
      </c>
    </row>
    <row r="2218" spans="1:5" x14ac:dyDescent="0.25">
      <c r="A2218" s="4">
        <v>41994.89912037037</v>
      </c>
      <c r="B2218" s="2" t="s">
        <v>1177</v>
      </c>
      <c r="C2218" s="2" t="s">
        <v>63</v>
      </c>
      <c r="D2218" s="2" t="str">
        <f>"9781400846344"</f>
        <v>9781400846344</v>
      </c>
      <c r="E2218" s="2">
        <v>1131669</v>
      </c>
    </row>
    <row r="2219" spans="1:5" x14ac:dyDescent="0.25">
      <c r="A2219" s="4">
        <v>41931.819803240738</v>
      </c>
      <c r="B2219" s="2" t="s">
        <v>3133</v>
      </c>
      <c r="C2219" s="2" t="s">
        <v>63</v>
      </c>
      <c r="D2219" s="2" t="str">
        <f>"9781400831531"</f>
        <v>9781400831531</v>
      </c>
      <c r="E2219" s="2">
        <v>537644</v>
      </c>
    </row>
    <row r="2220" spans="1:5" x14ac:dyDescent="0.25">
      <c r="A2220" s="4">
        <v>41994.905590277776</v>
      </c>
      <c r="B2220" s="2" t="s">
        <v>566</v>
      </c>
      <c r="C2220" s="2" t="s">
        <v>96</v>
      </c>
      <c r="D2220" s="2" t="str">
        <f>"9780807878002"</f>
        <v>9780807878002</v>
      </c>
      <c r="E2220" s="2">
        <v>680729</v>
      </c>
    </row>
    <row r="2221" spans="1:5" x14ac:dyDescent="0.25">
      <c r="A2221" s="4">
        <v>41994.908159722225</v>
      </c>
      <c r="B2221" s="2" t="s">
        <v>403</v>
      </c>
      <c r="C2221" s="2" t="s">
        <v>26</v>
      </c>
      <c r="D2221" s="2" t="str">
        <f>"9780471716198"</f>
        <v>9780471716198</v>
      </c>
      <c r="E2221" s="2">
        <v>231744</v>
      </c>
    </row>
    <row r="2222" spans="1:5" x14ac:dyDescent="0.25">
      <c r="A2222" s="4">
        <v>41918.957685185182</v>
      </c>
      <c r="B2222" s="2" t="s">
        <v>3410</v>
      </c>
      <c r="C2222" s="2" t="s">
        <v>26</v>
      </c>
      <c r="D2222" s="2" t="str">
        <f>"9781118017920"</f>
        <v>9781118017920</v>
      </c>
      <c r="E2222" s="2">
        <v>706532</v>
      </c>
    </row>
    <row r="2223" spans="1:5" x14ac:dyDescent="0.25">
      <c r="A2223" s="4">
        <v>41913.827094907407</v>
      </c>
      <c r="B2223" s="2" t="s">
        <v>3531</v>
      </c>
      <c r="C2223" s="2" t="s">
        <v>7</v>
      </c>
      <c r="D2223" s="2" t="str">
        <f>"9781452263922"</f>
        <v>9781452263922</v>
      </c>
      <c r="E2223" s="2">
        <v>996871</v>
      </c>
    </row>
    <row r="2224" spans="1:5" x14ac:dyDescent="0.25">
      <c r="A2224" s="4">
        <v>41994.878761574073</v>
      </c>
      <c r="B2224" s="2" t="s">
        <v>2175</v>
      </c>
      <c r="C2224" s="2" t="s">
        <v>2170</v>
      </c>
      <c r="D2224" s="2" t="str">
        <f>"9781780329499"</f>
        <v>9781780329499</v>
      </c>
      <c r="E2224" s="2">
        <v>1696467</v>
      </c>
    </row>
    <row r="2225" spans="1:5" x14ac:dyDescent="0.25">
      <c r="A2225" s="4">
        <v>41994.905578703707</v>
      </c>
      <c r="B2225" s="2" t="s">
        <v>605</v>
      </c>
      <c r="C2225" s="2" t="s">
        <v>96</v>
      </c>
      <c r="D2225" s="2" t="str">
        <f>"9780807888544"</f>
        <v>9780807888544</v>
      </c>
      <c r="E2225" s="2">
        <v>454829</v>
      </c>
    </row>
    <row r="2226" spans="1:5" x14ac:dyDescent="0.25">
      <c r="A2226" s="4">
        <v>41994.899062500001</v>
      </c>
      <c r="B2226" s="2" t="s">
        <v>1372</v>
      </c>
      <c r="C2226" s="2" t="s">
        <v>63</v>
      </c>
      <c r="D2226" s="2" t="str">
        <f>"9781400834198"</f>
        <v>9781400834198</v>
      </c>
      <c r="E2226" s="2">
        <v>537709</v>
      </c>
    </row>
    <row r="2227" spans="1:5" x14ac:dyDescent="0.25">
      <c r="A2227" s="4">
        <v>41919.728912037041</v>
      </c>
      <c r="B2227" s="2" t="s">
        <v>3386</v>
      </c>
      <c r="C2227" s="2" t="s">
        <v>63</v>
      </c>
      <c r="D2227" s="2" t="str">
        <f>"9781400842018"</f>
        <v>9781400842018</v>
      </c>
      <c r="E2227" s="2">
        <v>846171</v>
      </c>
    </row>
    <row r="2228" spans="1:5" x14ac:dyDescent="0.25">
      <c r="A2228" s="4">
        <v>41994.889861111114</v>
      </c>
      <c r="B2228" s="2" t="s">
        <v>1904</v>
      </c>
      <c r="C2228" s="2" t="s">
        <v>72</v>
      </c>
      <c r="D2228" s="2" t="str">
        <f>"9780748642236"</f>
        <v>9780748642236</v>
      </c>
      <c r="E2228" s="2">
        <v>536984</v>
      </c>
    </row>
    <row r="2229" spans="1:5" x14ac:dyDescent="0.25">
      <c r="A2229" s="4">
        <v>41905.803842592592</v>
      </c>
      <c r="B2229" s="2" t="s">
        <v>3729</v>
      </c>
      <c r="C2229" s="2" t="s">
        <v>26</v>
      </c>
      <c r="D2229" s="2" t="str">
        <f>"9780470169759"</f>
        <v>9780470169759</v>
      </c>
      <c r="E2229" s="2">
        <v>315223</v>
      </c>
    </row>
    <row r="2230" spans="1:5" x14ac:dyDescent="0.25">
      <c r="A2230" s="4">
        <v>41994.901909722219</v>
      </c>
      <c r="B2230" s="2" t="s">
        <v>1000</v>
      </c>
      <c r="C2230" s="2" t="s">
        <v>119</v>
      </c>
      <c r="D2230" s="2" t="str">
        <f>"9780520925441"</f>
        <v>9780520925441</v>
      </c>
      <c r="E2230" s="2">
        <v>224299</v>
      </c>
    </row>
    <row r="2231" spans="1:5" x14ac:dyDescent="0.25">
      <c r="A2231" s="4">
        <v>41908.266840277778</v>
      </c>
      <c r="B2231" s="2" t="s">
        <v>3660</v>
      </c>
      <c r="C2231" s="2" t="s">
        <v>2283</v>
      </c>
      <c r="D2231" s="2" t="str">
        <f>"9789027269980"</f>
        <v>9789027269980</v>
      </c>
      <c r="E2231" s="2">
        <v>1715258</v>
      </c>
    </row>
    <row r="2232" spans="1:5" x14ac:dyDescent="0.25">
      <c r="A2232" s="4">
        <v>41994.899039351854</v>
      </c>
      <c r="B2232" s="2" t="s">
        <v>1423</v>
      </c>
      <c r="C2232" s="2" t="s">
        <v>63</v>
      </c>
      <c r="D2232" s="2" t="str">
        <f>"9781400828029"</f>
        <v>9781400828029</v>
      </c>
      <c r="E2232" s="2">
        <v>445551</v>
      </c>
    </row>
    <row r="2233" spans="1:5" x14ac:dyDescent="0.25">
      <c r="A2233" s="4">
        <v>42886.492025462961</v>
      </c>
      <c r="B2233" s="2" t="s">
        <v>134</v>
      </c>
      <c r="C2233" s="2" t="s">
        <v>26</v>
      </c>
      <c r="D2233" s="2" t="str">
        <f>"9781118778753"</f>
        <v>9781118778753</v>
      </c>
      <c r="E2233" s="2">
        <v>4562447</v>
      </c>
    </row>
    <row r="2234" spans="1:5" x14ac:dyDescent="0.25">
      <c r="A2234" s="4">
        <v>41912.506076388891</v>
      </c>
      <c r="B2234" s="2" t="s">
        <v>3566</v>
      </c>
      <c r="C2234" s="2" t="s">
        <v>26</v>
      </c>
      <c r="D2234" s="2" t="str">
        <f>"9781405151856"</f>
        <v>9781405151856</v>
      </c>
      <c r="E2234" s="2">
        <v>243539</v>
      </c>
    </row>
    <row r="2235" spans="1:5" x14ac:dyDescent="0.25">
      <c r="A2235" s="4">
        <v>41934.831585648149</v>
      </c>
      <c r="B2235" s="2" t="s">
        <v>3049</v>
      </c>
      <c r="C2235" s="2" t="s">
        <v>26</v>
      </c>
      <c r="D2235" s="2" t="str">
        <f>"9781118093054"</f>
        <v>9781118093054</v>
      </c>
      <c r="E2235" s="2">
        <v>697986</v>
      </c>
    </row>
    <row r="2236" spans="1:5" x14ac:dyDescent="0.25">
      <c r="A2236" s="4">
        <v>41994.901898148149</v>
      </c>
      <c r="B2236" s="2" t="s">
        <v>1032</v>
      </c>
      <c r="C2236" s="2" t="s">
        <v>119</v>
      </c>
      <c r="D2236" s="2" t="str">
        <f>"9780520909458"</f>
        <v>9780520909458</v>
      </c>
      <c r="E2236" s="2">
        <v>223297</v>
      </c>
    </row>
    <row r="2237" spans="1:5" x14ac:dyDescent="0.25">
      <c r="A2237" s="4">
        <v>41994.899062500001</v>
      </c>
      <c r="B2237" s="2" t="s">
        <v>1381</v>
      </c>
      <c r="C2237" s="2" t="s">
        <v>63</v>
      </c>
      <c r="D2237" s="2" t="str">
        <f>"9781400824182"</f>
        <v>9781400824182</v>
      </c>
      <c r="E2237" s="2">
        <v>537637</v>
      </c>
    </row>
    <row r="2238" spans="1:5" x14ac:dyDescent="0.25">
      <c r="A2238" s="4">
        <v>41994.878738425927</v>
      </c>
      <c r="B2238" s="2" t="s">
        <v>2220</v>
      </c>
      <c r="C2238" s="2" t="s">
        <v>2170</v>
      </c>
      <c r="D2238" s="2" t="str">
        <f>"9781848131088"</f>
        <v>9781848131088</v>
      </c>
      <c r="E2238" s="2">
        <v>339201</v>
      </c>
    </row>
    <row r="2239" spans="1:5" x14ac:dyDescent="0.25">
      <c r="A2239" s="4">
        <v>41994.889907407407</v>
      </c>
      <c r="B2239" s="2" t="s">
        <v>1851</v>
      </c>
      <c r="C2239" s="2" t="s">
        <v>72</v>
      </c>
      <c r="D2239" s="2" t="str">
        <f>"9780748674619"</f>
        <v>9780748674619</v>
      </c>
      <c r="E2239" s="2">
        <v>943313</v>
      </c>
    </row>
    <row r="2240" spans="1:5" x14ac:dyDescent="0.25">
      <c r="A2240" s="4">
        <v>41926.571319444447</v>
      </c>
      <c r="B2240" s="2" t="s">
        <v>3243</v>
      </c>
      <c r="C2240" s="2" t="s">
        <v>63</v>
      </c>
      <c r="D2240" s="2" t="str">
        <f>"9781400826056"</f>
        <v>9781400826056</v>
      </c>
      <c r="E2240" s="2">
        <v>457792</v>
      </c>
    </row>
    <row r="2241" spans="1:5" x14ac:dyDescent="0.25">
      <c r="A2241" s="4">
        <v>41921.60260416667</v>
      </c>
      <c r="B2241" s="2" t="s">
        <v>3339</v>
      </c>
      <c r="C2241" s="2" t="s">
        <v>63</v>
      </c>
      <c r="D2241" s="2" t="str">
        <f>"9781400847358"</f>
        <v>9781400847358</v>
      </c>
      <c r="E2241" s="2">
        <v>1132093</v>
      </c>
    </row>
    <row r="2242" spans="1:5" x14ac:dyDescent="0.25">
      <c r="A2242" s="4">
        <v>41994.905613425923</v>
      </c>
      <c r="B2242" s="2" t="s">
        <v>506</v>
      </c>
      <c r="C2242" s="2" t="s">
        <v>424</v>
      </c>
      <c r="D2242" s="2" t="str">
        <f>"9781469601410"</f>
        <v>9781469601410</v>
      </c>
      <c r="E2242" s="2">
        <v>934368</v>
      </c>
    </row>
    <row r="2243" spans="1:5" x14ac:dyDescent="0.25">
      <c r="A2243" s="4">
        <v>41994.885011574072</v>
      </c>
      <c r="B2243" s="2" t="s">
        <v>2080</v>
      </c>
      <c r="C2243" s="2" t="s">
        <v>74</v>
      </c>
      <c r="D2243" s="2" t="str">
        <f>"9781441162540"</f>
        <v>9781441162540</v>
      </c>
      <c r="E2243" s="2">
        <v>762977</v>
      </c>
    </row>
    <row r="2244" spans="1:5" x14ac:dyDescent="0.25">
      <c r="A2244" s="4">
        <v>41977.590891203705</v>
      </c>
      <c r="B2244" s="2" t="s">
        <v>2604</v>
      </c>
      <c r="C2244" s="2" t="s">
        <v>7</v>
      </c>
      <c r="D2244" s="2" t="str">
        <f>"9781452263557"</f>
        <v>9781452263557</v>
      </c>
      <c r="E2244" s="2">
        <v>996502</v>
      </c>
    </row>
    <row r="2245" spans="1:5" x14ac:dyDescent="0.25">
      <c r="A2245" s="4">
        <v>41994.899074074077</v>
      </c>
      <c r="B2245" s="2" t="s">
        <v>1340</v>
      </c>
      <c r="C2245" s="2" t="s">
        <v>63</v>
      </c>
      <c r="D2245" s="2" t="str">
        <f>"9781400826643"</f>
        <v>9781400826643</v>
      </c>
      <c r="E2245" s="2">
        <v>617523</v>
      </c>
    </row>
    <row r="2246" spans="1:5" x14ac:dyDescent="0.25">
      <c r="A2246" s="4">
        <v>41904.551319444443</v>
      </c>
      <c r="B2246" s="2" t="s">
        <v>3774</v>
      </c>
      <c r="C2246" s="2" t="s">
        <v>7</v>
      </c>
      <c r="D2246" s="2" t="str">
        <f>"9781452224039"</f>
        <v>9781452224039</v>
      </c>
      <c r="E2246" s="2">
        <v>996292</v>
      </c>
    </row>
    <row r="2247" spans="1:5" x14ac:dyDescent="0.25">
      <c r="A2247" s="4">
        <v>41994.896145833336</v>
      </c>
      <c r="B2247" s="2" t="s">
        <v>1501</v>
      </c>
      <c r="C2247" s="2" t="s">
        <v>28</v>
      </c>
      <c r="D2247" s="2" t="str">
        <f>"9780253005946"</f>
        <v>9780253005946</v>
      </c>
      <c r="E2247" s="2">
        <v>923145</v>
      </c>
    </row>
    <row r="2248" spans="1:5" x14ac:dyDescent="0.25">
      <c r="A2248" s="4">
        <v>41994.899097222224</v>
      </c>
      <c r="B2248" s="2" t="s">
        <v>1266</v>
      </c>
      <c r="C2248" s="2" t="s">
        <v>63</v>
      </c>
      <c r="D2248" s="2" t="str">
        <f>"9781400841141"</f>
        <v>9781400841141</v>
      </c>
      <c r="E2248" s="2">
        <v>787870</v>
      </c>
    </row>
    <row r="2249" spans="1:5" x14ac:dyDescent="0.25">
      <c r="A2249" s="4">
        <v>41988.384340277778</v>
      </c>
      <c r="B2249" s="2" t="s">
        <v>2300</v>
      </c>
      <c r="C2249" s="2" t="s">
        <v>1934</v>
      </c>
      <c r="D2249" s="2" t="str">
        <f>"9781472526564"</f>
        <v>9781472526564</v>
      </c>
      <c r="E2249" s="2">
        <v>1394909</v>
      </c>
    </row>
    <row r="2250" spans="1:5" x14ac:dyDescent="0.25">
      <c r="A2250" s="4">
        <v>41994.899143518516</v>
      </c>
      <c r="B2250" s="2" t="s">
        <v>1084</v>
      </c>
      <c r="C2250" s="2" t="s">
        <v>63</v>
      </c>
      <c r="D2250" s="2" t="str">
        <f>"9781400851225"</f>
        <v>9781400851225</v>
      </c>
      <c r="E2250" s="2">
        <v>1604278</v>
      </c>
    </row>
    <row r="2251" spans="1:5" x14ac:dyDescent="0.25">
      <c r="A2251" s="4">
        <v>41994.899097222224</v>
      </c>
      <c r="B2251" s="2" t="s">
        <v>1249</v>
      </c>
      <c r="C2251" s="2" t="s">
        <v>63</v>
      </c>
      <c r="D2251" s="2" t="str">
        <f>"9781400842353"</f>
        <v>9781400842353</v>
      </c>
      <c r="E2251" s="2">
        <v>859031</v>
      </c>
    </row>
    <row r="2252" spans="1:5" x14ac:dyDescent="0.25">
      <c r="A2252" s="4">
        <v>41994.885034722225</v>
      </c>
      <c r="B2252" s="2" t="s">
        <v>1995</v>
      </c>
      <c r="C2252" s="2" t="s">
        <v>18</v>
      </c>
      <c r="D2252" s="2" t="str">
        <f>"9781472512406"</f>
        <v>9781472512406</v>
      </c>
      <c r="E2252" s="2">
        <v>1388992</v>
      </c>
    </row>
    <row r="2253" spans="1:5" x14ac:dyDescent="0.25">
      <c r="A2253" s="4">
        <v>41994.901990740742</v>
      </c>
      <c r="B2253" s="2" t="s">
        <v>757</v>
      </c>
      <c r="C2253" s="2" t="s">
        <v>119</v>
      </c>
      <c r="D2253" s="2" t="str">
        <f>"9780520951341"</f>
        <v>9780520951341</v>
      </c>
      <c r="E2253" s="2">
        <v>934483</v>
      </c>
    </row>
    <row r="2254" spans="1:5" x14ac:dyDescent="0.25">
      <c r="A2254" s="4">
        <v>41994.899108796293</v>
      </c>
      <c r="B2254" s="2" t="s">
        <v>1231</v>
      </c>
      <c r="C2254" s="2" t="s">
        <v>63</v>
      </c>
      <c r="D2254" s="2" t="str">
        <f>"9781400841882"</f>
        <v>9781400841882</v>
      </c>
      <c r="E2254" s="2">
        <v>881946</v>
      </c>
    </row>
    <row r="2255" spans="1:5" x14ac:dyDescent="0.25">
      <c r="A2255" s="4">
        <v>41893.507534722223</v>
      </c>
      <c r="B2255" s="2" t="s">
        <v>3884</v>
      </c>
      <c r="C2255" s="2" t="s">
        <v>119</v>
      </c>
      <c r="D2255" s="2" t="str">
        <f>"9780520917538"</f>
        <v>9780520917538</v>
      </c>
      <c r="E2255" s="2">
        <v>224434</v>
      </c>
    </row>
    <row r="2256" spans="1:5" x14ac:dyDescent="0.25">
      <c r="A2256" s="4">
        <v>41994.902002314811</v>
      </c>
      <c r="B2256" s="2" t="s">
        <v>703</v>
      </c>
      <c r="C2256" s="2" t="s">
        <v>119</v>
      </c>
      <c r="D2256" s="2" t="str">
        <f>"9780520956568"</f>
        <v>9780520956568</v>
      </c>
      <c r="E2256" s="2">
        <v>1238980</v>
      </c>
    </row>
    <row r="2257" spans="1:5" x14ac:dyDescent="0.25">
      <c r="A2257" s="4">
        <v>41983.720381944448</v>
      </c>
      <c r="B2257" s="2" t="s">
        <v>2398</v>
      </c>
      <c r="C2257" s="2" t="s">
        <v>63</v>
      </c>
      <c r="D2257" s="2" t="str">
        <f>"9781400834334"</f>
        <v>9781400834334</v>
      </c>
      <c r="E2257" s="2">
        <v>537718</v>
      </c>
    </row>
    <row r="2258" spans="1:5" x14ac:dyDescent="0.25">
      <c r="A2258" s="4">
        <v>41978.772847222222</v>
      </c>
      <c r="B2258" s="2" t="s">
        <v>2555</v>
      </c>
      <c r="C2258" s="2" t="s">
        <v>119</v>
      </c>
      <c r="D2258" s="2" t="str">
        <f>"9780520958401"</f>
        <v>9780520958401</v>
      </c>
      <c r="E2258" s="2">
        <v>1663941</v>
      </c>
    </row>
    <row r="2259" spans="1:5" x14ac:dyDescent="0.25">
      <c r="A2259" s="4">
        <v>41994.901956018519</v>
      </c>
      <c r="B2259" s="2" t="s">
        <v>873</v>
      </c>
      <c r="C2259" s="2" t="s">
        <v>119</v>
      </c>
      <c r="D2259" s="2" t="str">
        <f>"9780520948907"</f>
        <v>9780520948907</v>
      </c>
      <c r="E2259" s="2">
        <v>684676</v>
      </c>
    </row>
    <row r="2260" spans="1:5" x14ac:dyDescent="0.25">
      <c r="A2260" s="4">
        <v>41994.905613425923</v>
      </c>
      <c r="B2260" s="2" t="s">
        <v>493</v>
      </c>
      <c r="C2260" s="2" t="s">
        <v>96</v>
      </c>
      <c r="D2260" s="2" t="str">
        <f>"9780807837467"</f>
        <v>9780807837467</v>
      </c>
      <c r="E2260" s="2">
        <v>1035007</v>
      </c>
    </row>
    <row r="2261" spans="1:5" x14ac:dyDescent="0.25">
      <c r="A2261" s="4">
        <v>41994.889930555553</v>
      </c>
      <c r="B2261" s="2" t="s">
        <v>1810</v>
      </c>
      <c r="C2261" s="2" t="s">
        <v>72</v>
      </c>
      <c r="D2261" s="2" t="str">
        <f>"9780748679980"</f>
        <v>9780748679980</v>
      </c>
      <c r="E2261" s="2">
        <v>1698584</v>
      </c>
    </row>
    <row r="2262" spans="1:5" x14ac:dyDescent="0.25">
      <c r="A2262" s="4">
        <v>41987.791018518517</v>
      </c>
      <c r="B2262" s="2" t="s">
        <v>2309</v>
      </c>
      <c r="C2262" s="2" t="s">
        <v>119</v>
      </c>
      <c r="D2262" s="2" t="str">
        <f>"9780520924499"</f>
        <v>9780520924499</v>
      </c>
      <c r="E2262" s="2">
        <v>223400</v>
      </c>
    </row>
    <row r="2263" spans="1:5" x14ac:dyDescent="0.25">
      <c r="A2263" s="4">
        <v>41976.551527777781</v>
      </c>
      <c r="B2263" s="2" t="s">
        <v>2689</v>
      </c>
      <c r="C2263" s="2" t="s">
        <v>119</v>
      </c>
      <c r="D2263" s="2" t="str">
        <f>"9780520948242"</f>
        <v>9780520948242</v>
      </c>
      <c r="E2263" s="2">
        <v>646814</v>
      </c>
    </row>
    <row r="2264" spans="1:5" x14ac:dyDescent="0.25">
      <c r="A2264" s="4">
        <v>41994.905636574076</v>
      </c>
      <c r="B2264" s="2" t="s">
        <v>434</v>
      </c>
      <c r="C2264" s="2" t="s">
        <v>424</v>
      </c>
      <c r="D2264" s="2" t="str">
        <f>"9781469620268"</f>
        <v>9781469620268</v>
      </c>
      <c r="E2264" s="2">
        <v>1694842</v>
      </c>
    </row>
    <row r="2265" spans="1:5" x14ac:dyDescent="0.25">
      <c r="A2265" s="4">
        <v>41994.892905092594</v>
      </c>
      <c r="B2265" s="2" t="s">
        <v>1749</v>
      </c>
      <c r="C2265" s="2" t="s">
        <v>16</v>
      </c>
      <c r="D2265" s="2" t="str">
        <f>"9781606235584"</f>
        <v>9781606235584</v>
      </c>
      <c r="E2265" s="2">
        <v>479601</v>
      </c>
    </row>
    <row r="2266" spans="1:5" x14ac:dyDescent="0.25">
      <c r="A2266" s="4">
        <v>41994.899062500001</v>
      </c>
      <c r="B2266" s="2" t="s">
        <v>1355</v>
      </c>
      <c r="C2266" s="2" t="s">
        <v>63</v>
      </c>
      <c r="D2266" s="2" t="str">
        <f>"9781400836093"</f>
        <v>9781400836093</v>
      </c>
      <c r="E2266" s="2">
        <v>585148</v>
      </c>
    </row>
    <row r="2267" spans="1:5" x14ac:dyDescent="0.25">
      <c r="A2267" s="4">
        <v>41994.905578703707</v>
      </c>
      <c r="B2267" s="2" t="s">
        <v>591</v>
      </c>
      <c r="C2267" s="2" t="s">
        <v>96</v>
      </c>
      <c r="D2267" s="2" t="str">
        <f>"9780807898314"</f>
        <v>9780807898314</v>
      </c>
      <c r="E2267" s="2">
        <v>565709</v>
      </c>
    </row>
    <row r="2268" spans="1:5" x14ac:dyDescent="0.25">
      <c r="A2268" s="4">
        <v>41930.76048611111</v>
      </c>
      <c r="B2268" s="2" t="s">
        <v>3150</v>
      </c>
      <c r="C2268" s="2" t="s">
        <v>2404</v>
      </c>
      <c r="D2268" s="2" t="str">
        <f>"9780335230242"</f>
        <v>9780335230242</v>
      </c>
      <c r="E2268" s="2">
        <v>316324</v>
      </c>
    </row>
    <row r="2269" spans="1:5" x14ac:dyDescent="0.25">
      <c r="A2269" s="4">
        <v>41975.838217592594</v>
      </c>
      <c r="B2269" s="2" t="s">
        <v>2773</v>
      </c>
      <c r="C2269" s="2" t="s">
        <v>26</v>
      </c>
      <c r="D2269" s="2" t="str">
        <f>"9781444340341"</f>
        <v>9781444340341</v>
      </c>
      <c r="E2269" s="2">
        <v>707958</v>
      </c>
    </row>
    <row r="2270" spans="1:5" x14ac:dyDescent="0.25">
      <c r="A2270" s="4">
        <v>41906.343599537038</v>
      </c>
      <c r="B2270" s="2" t="s">
        <v>3718</v>
      </c>
      <c r="C2270" s="2" t="s">
        <v>7</v>
      </c>
      <c r="D2270" s="2" t="str">
        <f>"9781452251646"</f>
        <v>9781452251646</v>
      </c>
      <c r="E2270" s="2">
        <v>997116</v>
      </c>
    </row>
    <row r="2271" spans="1:5" x14ac:dyDescent="0.25">
      <c r="A2271" s="4">
        <v>42160.326990740738</v>
      </c>
      <c r="B2271" s="2" t="s">
        <v>2232</v>
      </c>
      <c r="C2271" s="2" t="s">
        <v>160</v>
      </c>
      <c r="D2271" s="2" t="str">
        <f>"9780470640555"</f>
        <v>9780470640555</v>
      </c>
      <c r="E2271" s="2">
        <v>588878</v>
      </c>
    </row>
    <row r="2272" spans="1:5" x14ac:dyDescent="0.25">
      <c r="A2272" s="4">
        <v>41863.511134259257</v>
      </c>
      <c r="B2272" s="2" t="s">
        <v>2232</v>
      </c>
      <c r="C2272" s="2" t="s">
        <v>160</v>
      </c>
      <c r="D2272" s="2" t="str">
        <f>"9780470640555"</f>
        <v>9780470640555</v>
      </c>
      <c r="E2272" s="2">
        <v>588878</v>
      </c>
    </row>
    <row r="2273" spans="1:5" x14ac:dyDescent="0.25">
      <c r="A2273" s="4">
        <v>41974.482766203706</v>
      </c>
      <c r="B2273" s="2" t="s">
        <v>2977</v>
      </c>
      <c r="C2273" s="2" t="s">
        <v>26</v>
      </c>
      <c r="D2273" s="2" t="str">
        <f>"9780787960902"</f>
        <v>9780787960902</v>
      </c>
      <c r="E2273" s="2">
        <v>121615</v>
      </c>
    </row>
    <row r="2274" spans="1:5" x14ac:dyDescent="0.25">
      <c r="A2274" s="4">
        <v>41919.674363425926</v>
      </c>
      <c r="B2274" s="2" t="s">
        <v>3388</v>
      </c>
      <c r="C2274" s="2" t="s">
        <v>7</v>
      </c>
      <c r="D2274" s="2" t="str">
        <f>"9780857022097"</f>
        <v>9780857022097</v>
      </c>
      <c r="E2274" s="2">
        <v>483315</v>
      </c>
    </row>
    <row r="2275" spans="1:5" x14ac:dyDescent="0.25">
      <c r="A2275" s="4">
        <v>41994.908171296294</v>
      </c>
      <c r="B2275" s="2" t="s">
        <v>362</v>
      </c>
      <c r="C2275" s="2" t="s">
        <v>26</v>
      </c>
      <c r="D2275" s="2" t="str">
        <f>"9780470196472"</f>
        <v>9780470196472</v>
      </c>
      <c r="E2275" s="2">
        <v>353399</v>
      </c>
    </row>
    <row r="2276" spans="1:5" x14ac:dyDescent="0.25">
      <c r="A2276" s="4">
        <v>41912.468101851853</v>
      </c>
      <c r="B2276" s="2" t="s">
        <v>3568</v>
      </c>
      <c r="C2276" s="2" t="s">
        <v>7</v>
      </c>
      <c r="D2276" s="2" t="str">
        <f>"9781483302140"</f>
        <v>9781483302140</v>
      </c>
      <c r="E2276" s="2">
        <v>1160200</v>
      </c>
    </row>
    <row r="2277" spans="1:5" x14ac:dyDescent="0.25">
      <c r="A2277" s="4">
        <v>41922.80431712963</v>
      </c>
      <c r="B2277" s="2" t="s">
        <v>3313</v>
      </c>
      <c r="C2277" s="2" t="s">
        <v>16</v>
      </c>
      <c r="D2277" s="2" t="str">
        <f>"9781462513789"</f>
        <v>9781462513789</v>
      </c>
      <c r="E2277" s="2">
        <v>1655940</v>
      </c>
    </row>
    <row r="2278" spans="1:5" x14ac:dyDescent="0.25">
      <c r="A2278" s="4">
        <v>41994.899039351854</v>
      </c>
      <c r="B2278" s="2" t="s">
        <v>1424</v>
      </c>
      <c r="C2278" s="2" t="s">
        <v>63</v>
      </c>
      <c r="D2278" s="2" t="str">
        <f>"9781400825080"</f>
        <v>9781400825080</v>
      </c>
      <c r="E2278" s="2">
        <v>445527</v>
      </c>
    </row>
    <row r="2279" spans="1:5" x14ac:dyDescent="0.25">
      <c r="A2279" s="4">
        <v>41994.901921296296</v>
      </c>
      <c r="B2279" s="2" t="s">
        <v>961</v>
      </c>
      <c r="C2279" s="2" t="s">
        <v>119</v>
      </c>
      <c r="D2279" s="2" t="str">
        <f>"9780520932173"</f>
        <v>9780520932173</v>
      </c>
      <c r="E2279" s="2">
        <v>280129</v>
      </c>
    </row>
    <row r="2280" spans="1:5" x14ac:dyDescent="0.25">
      <c r="A2280" s="4">
        <v>41929.826238425929</v>
      </c>
      <c r="B2280" s="2" t="s">
        <v>3162</v>
      </c>
      <c r="C2280" s="2" t="s">
        <v>36</v>
      </c>
      <c r="D2280" s="2" t="str">
        <f>"9780786482351"</f>
        <v>9780786482351</v>
      </c>
      <c r="E2280" s="2">
        <v>1757817</v>
      </c>
    </row>
    <row r="2281" spans="1:5" x14ac:dyDescent="0.25">
      <c r="A2281" s="4">
        <v>41900.439247685186</v>
      </c>
      <c r="B2281" s="2" t="s">
        <v>3840</v>
      </c>
      <c r="C2281" s="2" t="s">
        <v>26</v>
      </c>
      <c r="D2281" s="2" t="str">
        <f>"9781405143561"</f>
        <v>9781405143561</v>
      </c>
      <c r="E2281" s="2">
        <v>239864</v>
      </c>
    </row>
    <row r="2282" spans="1:5" x14ac:dyDescent="0.25">
      <c r="A2282" s="4">
        <v>43223.743159722224</v>
      </c>
      <c r="B2282" s="2" t="s">
        <v>37</v>
      </c>
      <c r="C2282" s="2" t="s">
        <v>5</v>
      </c>
      <c r="D2282" s="2" t="str">
        <f>"9780857012814"</f>
        <v>9780857012814</v>
      </c>
      <c r="E2282" s="2">
        <v>4819035</v>
      </c>
    </row>
    <row r="2283" spans="1:5" x14ac:dyDescent="0.25">
      <c r="A2283" s="4">
        <v>41994.892939814818</v>
      </c>
      <c r="B2283" s="2" t="s">
        <v>1660</v>
      </c>
      <c r="C2283" s="2" t="s">
        <v>16</v>
      </c>
      <c r="D2283" s="2" t="str">
        <f>"9781593858278"</f>
        <v>9781593858278</v>
      </c>
      <c r="E2283" s="2">
        <v>1185075</v>
      </c>
    </row>
    <row r="2284" spans="1:5" x14ac:dyDescent="0.25">
      <c r="A2284" s="4">
        <v>41989.509652777779</v>
      </c>
      <c r="B2284" s="2" t="s">
        <v>2256</v>
      </c>
      <c r="C2284" s="2" t="s">
        <v>28</v>
      </c>
      <c r="D2284" s="2" t="str">
        <f>"9780253108630"</f>
        <v>9780253108630</v>
      </c>
      <c r="E2284" s="2">
        <v>129701</v>
      </c>
    </row>
    <row r="2285" spans="1:5" x14ac:dyDescent="0.25">
      <c r="A2285" s="4">
        <v>41906.932534722226</v>
      </c>
      <c r="B2285" s="2" t="s">
        <v>3695</v>
      </c>
      <c r="C2285" s="2" t="s">
        <v>18</v>
      </c>
      <c r="D2285" s="2" t="str">
        <f>"9781441190925"</f>
        <v>9781441190925</v>
      </c>
      <c r="E2285" s="2">
        <v>743070</v>
      </c>
    </row>
    <row r="2286" spans="1:5" x14ac:dyDescent="0.25">
      <c r="A2286" s="4">
        <v>41994.896087962959</v>
      </c>
      <c r="B2286" s="2" t="s">
        <v>1602</v>
      </c>
      <c r="C2286" s="2" t="s">
        <v>28</v>
      </c>
      <c r="D2286" s="2" t="str">
        <f>"9780253112385"</f>
        <v>9780253112385</v>
      </c>
      <c r="E2286" s="2">
        <v>313176</v>
      </c>
    </row>
    <row r="2287" spans="1:5" x14ac:dyDescent="0.25">
      <c r="A2287" s="4">
        <v>41994.884988425925</v>
      </c>
      <c r="B2287" s="2" t="s">
        <v>2138</v>
      </c>
      <c r="C2287" s="2" t="s">
        <v>74</v>
      </c>
      <c r="D2287" s="2" t="str">
        <f>"9781441147318"</f>
        <v>9781441147318</v>
      </c>
      <c r="E2287" s="2">
        <v>592457</v>
      </c>
    </row>
    <row r="2288" spans="1:5" x14ac:dyDescent="0.25">
      <c r="A2288" s="4">
        <v>41911.562627314815</v>
      </c>
      <c r="B2288" s="2" t="s">
        <v>3599</v>
      </c>
      <c r="C2288" s="2" t="s">
        <v>119</v>
      </c>
      <c r="D2288" s="2" t="str">
        <f>"9780520951747"</f>
        <v>9780520951747</v>
      </c>
      <c r="E2288" s="2">
        <v>844029</v>
      </c>
    </row>
    <row r="2289" spans="1:5" x14ac:dyDescent="0.25">
      <c r="A2289" s="4">
        <v>41994.89912037037</v>
      </c>
      <c r="B2289" s="2" t="s">
        <v>1175</v>
      </c>
      <c r="C2289" s="2" t="s">
        <v>63</v>
      </c>
      <c r="D2289" s="2" t="str">
        <f>"9781400846368"</f>
        <v>9781400846368</v>
      </c>
      <c r="E2289" s="2">
        <v>1131685</v>
      </c>
    </row>
    <row r="2290" spans="1:5" x14ac:dyDescent="0.25">
      <c r="A2290" s="4">
        <v>41994.901956018519</v>
      </c>
      <c r="B2290" s="2" t="s">
        <v>858</v>
      </c>
      <c r="C2290" s="2" t="s">
        <v>119</v>
      </c>
      <c r="D2290" s="2" t="str">
        <f>"9780520949836"</f>
        <v>9780520949836</v>
      </c>
      <c r="E2290" s="2">
        <v>730028</v>
      </c>
    </row>
    <row r="2291" spans="1:5" x14ac:dyDescent="0.25">
      <c r="A2291" s="4">
        <v>41909.737581018519</v>
      </c>
      <c r="B2291" s="2" t="s">
        <v>3626</v>
      </c>
      <c r="C2291" s="2" t="s">
        <v>26</v>
      </c>
      <c r="D2291" s="2" t="str">
        <f>"9780857081490"</f>
        <v>9780857081490</v>
      </c>
      <c r="E2291" s="2">
        <v>700770</v>
      </c>
    </row>
    <row r="2292" spans="1:5" x14ac:dyDescent="0.25">
      <c r="A2292" s="4">
        <v>41994.901909722219</v>
      </c>
      <c r="B2292" s="2" t="s">
        <v>1006</v>
      </c>
      <c r="C2292" s="2" t="s">
        <v>119</v>
      </c>
      <c r="D2292" s="2" t="str">
        <f>"9780520923935"</f>
        <v>9780520923935</v>
      </c>
      <c r="E2292" s="2">
        <v>224211</v>
      </c>
    </row>
    <row r="2293" spans="1:5" x14ac:dyDescent="0.25">
      <c r="A2293" s="4">
        <v>41994.885046296295</v>
      </c>
      <c r="B2293" s="2" t="s">
        <v>1988</v>
      </c>
      <c r="C2293" s="2" t="s">
        <v>74</v>
      </c>
      <c r="D2293" s="2" t="str">
        <f>"9781623563301"</f>
        <v>9781623563301</v>
      </c>
      <c r="E2293" s="2">
        <v>1399119</v>
      </c>
    </row>
    <row r="2294" spans="1:5" x14ac:dyDescent="0.25">
      <c r="A2294" s="4">
        <v>41908.829340277778</v>
      </c>
      <c r="B2294" s="2" t="s">
        <v>3638</v>
      </c>
      <c r="C2294" s="2" t="s">
        <v>7</v>
      </c>
      <c r="D2294" s="2" t="str">
        <f>"9781452249810"</f>
        <v>9781452249810</v>
      </c>
      <c r="E2294" s="2">
        <v>1598445</v>
      </c>
    </row>
    <row r="2295" spans="1:5" x14ac:dyDescent="0.25">
      <c r="A2295" s="4">
        <v>41994.905590277776</v>
      </c>
      <c r="B2295" s="2" t="s">
        <v>548</v>
      </c>
      <c r="C2295" s="2" t="s">
        <v>96</v>
      </c>
      <c r="D2295" s="2" t="str">
        <f>"9780807869031"</f>
        <v>9780807869031</v>
      </c>
      <c r="E2295" s="2">
        <v>819535</v>
      </c>
    </row>
    <row r="2296" spans="1:5" x14ac:dyDescent="0.25">
      <c r="A2296" s="4">
        <v>43244.46802083333</v>
      </c>
      <c r="B2296" s="2" t="s">
        <v>15</v>
      </c>
      <c r="C2296" s="2" t="s">
        <v>16</v>
      </c>
      <c r="D2296" s="2" t="str">
        <f>"9781462530359"</f>
        <v>9781462530359</v>
      </c>
      <c r="E2296" s="2">
        <v>4844825</v>
      </c>
    </row>
    <row r="2297" spans="1:5" x14ac:dyDescent="0.25">
      <c r="A2297" s="4">
        <v>41994.908148148148</v>
      </c>
      <c r="B2297" s="2" t="s">
        <v>411</v>
      </c>
      <c r="C2297" s="2" t="s">
        <v>26</v>
      </c>
      <c r="D2297" s="2" t="str">
        <f>"9780787972523"</f>
        <v>9780787972523</v>
      </c>
      <c r="E2297" s="2">
        <v>175963</v>
      </c>
    </row>
    <row r="2298" spans="1:5" x14ac:dyDescent="0.25">
      <c r="A2298" s="4">
        <v>41994.901898148149</v>
      </c>
      <c r="B2298" s="2" t="s">
        <v>1043</v>
      </c>
      <c r="C2298" s="2" t="s">
        <v>119</v>
      </c>
      <c r="D2298" s="2" t="str">
        <f>"9780520924024"</f>
        <v>9780520924024</v>
      </c>
      <c r="E2298" s="2">
        <v>222972</v>
      </c>
    </row>
    <row r="2299" spans="1:5" x14ac:dyDescent="0.25">
      <c r="A2299" s="4">
        <v>41920.524652777778</v>
      </c>
      <c r="B2299" s="2" t="s">
        <v>3369</v>
      </c>
      <c r="C2299" s="2" t="s">
        <v>18</v>
      </c>
      <c r="D2299" s="2" t="str">
        <f>"9781441170811"</f>
        <v>9781441170811</v>
      </c>
      <c r="E2299" s="2">
        <v>634566</v>
      </c>
    </row>
    <row r="2300" spans="1:5" x14ac:dyDescent="0.25">
      <c r="A2300" s="4">
        <v>41994.901979166665</v>
      </c>
      <c r="B2300" s="2" t="s">
        <v>775</v>
      </c>
      <c r="C2300" s="2" t="s">
        <v>119</v>
      </c>
      <c r="D2300" s="2" t="str">
        <f>"9780520951549"</f>
        <v>9780520951549</v>
      </c>
      <c r="E2300" s="2">
        <v>913759</v>
      </c>
    </row>
    <row r="2301" spans="1:5" x14ac:dyDescent="0.25">
      <c r="A2301" s="4">
        <v>41974.846678240741</v>
      </c>
      <c r="B2301" s="2" t="s">
        <v>2906</v>
      </c>
      <c r="C2301" s="2" t="s">
        <v>96</v>
      </c>
      <c r="D2301" s="2" t="str">
        <f>"9781469615578"</f>
        <v>9781469615578</v>
      </c>
      <c r="E2301" s="2">
        <v>1655861</v>
      </c>
    </row>
    <row r="2302" spans="1:5" x14ac:dyDescent="0.25">
      <c r="A2302" s="4">
        <v>41927.401504629626</v>
      </c>
      <c r="B2302" s="2" t="s">
        <v>3224</v>
      </c>
      <c r="C2302" s="2" t="s">
        <v>160</v>
      </c>
      <c r="D2302" s="2" t="str">
        <f>"9781118160114"</f>
        <v>9781118160114</v>
      </c>
      <c r="E2302" s="2">
        <v>817384</v>
      </c>
    </row>
    <row r="2303" spans="1:5" x14ac:dyDescent="0.25">
      <c r="A2303" s="4">
        <v>41900.790636574071</v>
      </c>
      <c r="B2303" s="2" t="s">
        <v>3826</v>
      </c>
      <c r="C2303" s="2" t="s">
        <v>160</v>
      </c>
      <c r="D2303" s="2" t="str">
        <f>"9781118001295"</f>
        <v>9781118001295</v>
      </c>
      <c r="E2303" s="2">
        <v>706889</v>
      </c>
    </row>
    <row r="2304" spans="1:5" x14ac:dyDescent="0.25">
      <c r="A2304" s="4">
        <v>41870.468912037039</v>
      </c>
      <c r="B2304" s="2" t="s">
        <v>3948</v>
      </c>
      <c r="C2304" s="2" t="s">
        <v>160</v>
      </c>
      <c r="D2304" s="2" t="str">
        <f>"9781118012703"</f>
        <v>9781118012703</v>
      </c>
      <c r="E2304" s="2">
        <v>706890</v>
      </c>
    </row>
    <row r="2305" spans="1:5" x14ac:dyDescent="0.25">
      <c r="A2305" s="4">
        <v>41994.896111111113</v>
      </c>
      <c r="B2305" s="2" t="s">
        <v>1580</v>
      </c>
      <c r="C2305" s="2" t="s">
        <v>28</v>
      </c>
      <c r="D2305" s="2" t="str">
        <f>"9780253004178"</f>
        <v>9780253004178</v>
      </c>
      <c r="E2305" s="2">
        <v>516824</v>
      </c>
    </row>
    <row r="2306" spans="1:5" x14ac:dyDescent="0.25">
      <c r="A2306" s="4">
        <v>41994.896168981482</v>
      </c>
      <c r="B2306" s="2" t="s">
        <v>1456</v>
      </c>
      <c r="C2306" s="2" t="s">
        <v>28</v>
      </c>
      <c r="D2306" s="2" t="str">
        <f>"9780253011138"</f>
        <v>9780253011138</v>
      </c>
      <c r="E2306" s="2">
        <v>1566363</v>
      </c>
    </row>
    <row r="2307" spans="1:5" x14ac:dyDescent="0.25">
      <c r="A2307" s="4">
        <v>41994.896111111113</v>
      </c>
      <c r="B2307" s="2" t="s">
        <v>1585</v>
      </c>
      <c r="C2307" s="2" t="s">
        <v>28</v>
      </c>
      <c r="D2307" s="2" t="str">
        <f>"9780253004017"</f>
        <v>9780253004017</v>
      </c>
      <c r="E2307" s="2">
        <v>501427</v>
      </c>
    </row>
    <row r="2308" spans="1:5" x14ac:dyDescent="0.25">
      <c r="A2308" s="4">
        <v>41862.369525462964</v>
      </c>
      <c r="B2308" s="2" t="s">
        <v>3960</v>
      </c>
      <c r="C2308" s="2" t="s">
        <v>119</v>
      </c>
      <c r="D2308" s="2" t="str">
        <f>"9780520942677"</f>
        <v>9780520942677</v>
      </c>
      <c r="E2308" s="2">
        <v>837291</v>
      </c>
    </row>
    <row r="2309" spans="1:5" x14ac:dyDescent="0.25">
      <c r="A2309" s="4">
        <v>41900.634027777778</v>
      </c>
      <c r="B2309" s="2" t="s">
        <v>3833</v>
      </c>
      <c r="C2309" s="2" t="s">
        <v>119</v>
      </c>
      <c r="D2309" s="2" t="str">
        <f>"9780520939325"</f>
        <v>9780520939325</v>
      </c>
      <c r="E2309" s="2">
        <v>224115</v>
      </c>
    </row>
    <row r="2310" spans="1:5" x14ac:dyDescent="0.25">
      <c r="A2310" s="4">
        <v>41994.899155092593</v>
      </c>
      <c r="B2310" s="2" t="s">
        <v>1059</v>
      </c>
      <c r="C2310" s="2" t="s">
        <v>63</v>
      </c>
      <c r="D2310" s="2" t="str">
        <f>"9781400853953"</f>
        <v>9781400853953</v>
      </c>
      <c r="E2310" s="2">
        <v>1701184</v>
      </c>
    </row>
    <row r="2311" spans="1:5" x14ac:dyDescent="0.25">
      <c r="A2311" s="4">
        <v>41899.67015046296</v>
      </c>
      <c r="B2311" s="2" t="s">
        <v>3855</v>
      </c>
      <c r="C2311" s="2" t="s">
        <v>5</v>
      </c>
      <c r="D2311" s="2" t="str">
        <f>"9781846424205"</f>
        <v>9781846424205</v>
      </c>
      <c r="E2311" s="2">
        <v>290838</v>
      </c>
    </row>
    <row r="2312" spans="1:5" x14ac:dyDescent="0.25">
      <c r="A2312" s="4">
        <v>41976.771377314813</v>
      </c>
      <c r="B2312" s="2" t="s">
        <v>2635</v>
      </c>
      <c r="C2312" s="2" t="s">
        <v>26</v>
      </c>
      <c r="D2312" s="2" t="str">
        <f>"9781119997078"</f>
        <v>9781119997078</v>
      </c>
      <c r="E2312" s="2">
        <v>661816</v>
      </c>
    </row>
    <row r="2313" spans="1:5" x14ac:dyDescent="0.25">
      <c r="A2313" s="4">
        <v>41994.878738425927</v>
      </c>
      <c r="B2313" s="2" t="s">
        <v>2224</v>
      </c>
      <c r="C2313" s="2" t="s">
        <v>2170</v>
      </c>
      <c r="D2313" s="2" t="str">
        <f>"9781848131606"</f>
        <v>9781848131606</v>
      </c>
      <c r="E2313" s="2">
        <v>332944</v>
      </c>
    </row>
    <row r="2314" spans="1:5" x14ac:dyDescent="0.25">
      <c r="A2314" s="4">
        <v>41982.535613425927</v>
      </c>
      <c r="B2314" s="2" t="s">
        <v>2437</v>
      </c>
      <c r="C2314" s="2" t="s">
        <v>119</v>
      </c>
      <c r="D2314" s="2" t="str">
        <f>"9780520945630"</f>
        <v>9780520945630</v>
      </c>
      <c r="E2314" s="2">
        <v>837244</v>
      </c>
    </row>
    <row r="2315" spans="1:5" x14ac:dyDescent="0.25">
      <c r="A2315" s="4">
        <v>41914.501793981479</v>
      </c>
      <c r="B2315" s="2" t="s">
        <v>3518</v>
      </c>
      <c r="C2315" s="2" t="s">
        <v>63</v>
      </c>
      <c r="D2315" s="2" t="str">
        <f>"9781400822232"</f>
        <v>9781400822232</v>
      </c>
      <c r="E2315" s="2">
        <v>581606</v>
      </c>
    </row>
    <row r="2316" spans="1:5" x14ac:dyDescent="0.25">
      <c r="A2316" s="4">
        <v>41988.439884259256</v>
      </c>
      <c r="B2316" s="2" t="s">
        <v>2298</v>
      </c>
      <c r="C2316" s="2" t="s">
        <v>26</v>
      </c>
      <c r="D2316" s="2" t="str">
        <f>"9780470116838"</f>
        <v>9780470116838</v>
      </c>
      <c r="E2316" s="2">
        <v>292478</v>
      </c>
    </row>
    <row r="2317" spans="1:5" x14ac:dyDescent="0.25">
      <c r="A2317" s="4">
        <v>41905.670416666668</v>
      </c>
      <c r="B2317" s="2" t="s">
        <v>3737</v>
      </c>
      <c r="C2317" s="2" t="s">
        <v>119</v>
      </c>
      <c r="D2317" s="2" t="str">
        <f>"9780520931473"</f>
        <v>9780520931473</v>
      </c>
      <c r="E2317" s="2">
        <v>470831</v>
      </c>
    </row>
    <row r="2318" spans="1:5" x14ac:dyDescent="0.25">
      <c r="A2318" s="4">
        <v>42878.527060185188</v>
      </c>
      <c r="B2318" s="2" t="s">
        <v>154</v>
      </c>
      <c r="C2318" s="2" t="s">
        <v>26</v>
      </c>
      <c r="D2318" s="2" t="str">
        <f>"9781118746196"</f>
        <v>9781118746196</v>
      </c>
      <c r="E2318" s="2">
        <v>1943363</v>
      </c>
    </row>
    <row r="2319" spans="1:5" x14ac:dyDescent="0.25">
      <c r="A2319" s="4">
        <v>41994.896111111113</v>
      </c>
      <c r="B2319" s="2" t="s">
        <v>1579</v>
      </c>
      <c r="C2319" s="2" t="s">
        <v>28</v>
      </c>
      <c r="D2319" s="2" t="str">
        <f>"9780253004352"</f>
        <v>9780253004352</v>
      </c>
      <c r="E2319" s="2">
        <v>547019</v>
      </c>
    </row>
    <row r="2320" spans="1:5" x14ac:dyDescent="0.25">
      <c r="A2320" s="4">
        <v>41976.626145833332</v>
      </c>
      <c r="B2320" s="2" t="s">
        <v>2660</v>
      </c>
      <c r="C2320" s="2" t="s">
        <v>26</v>
      </c>
      <c r="D2320" s="2" t="str">
        <f>"9780470512869"</f>
        <v>9780470512869</v>
      </c>
      <c r="E2320" s="2">
        <v>309819</v>
      </c>
    </row>
    <row r="2321" spans="1:5" x14ac:dyDescent="0.25">
      <c r="A2321" s="4">
        <v>41994.905613425923</v>
      </c>
      <c r="B2321" s="2" t="s">
        <v>504</v>
      </c>
      <c r="C2321" s="2" t="s">
        <v>424</v>
      </c>
      <c r="D2321" s="2" t="str">
        <f>"9781469606569"</f>
        <v>9781469606569</v>
      </c>
      <c r="E2321" s="2">
        <v>934387</v>
      </c>
    </row>
    <row r="2322" spans="1:5" x14ac:dyDescent="0.25">
      <c r="A2322" s="4">
        <v>41994.885000000002</v>
      </c>
      <c r="B2322" s="2" t="s">
        <v>2093</v>
      </c>
      <c r="C2322" s="2" t="s">
        <v>18</v>
      </c>
      <c r="D2322" s="2" t="str">
        <f>"9781441167880"</f>
        <v>9781441167880</v>
      </c>
      <c r="E2322" s="2">
        <v>716156</v>
      </c>
    </row>
    <row r="2323" spans="1:5" x14ac:dyDescent="0.25">
      <c r="A2323" s="4">
        <v>41928.406307870369</v>
      </c>
      <c r="B2323" s="2" t="s">
        <v>3205</v>
      </c>
      <c r="C2323" s="2" t="s">
        <v>96</v>
      </c>
      <c r="D2323" s="2" t="str">
        <f>"9780807899533"</f>
        <v>9780807899533</v>
      </c>
      <c r="E2323" s="2">
        <v>605918</v>
      </c>
    </row>
    <row r="2324" spans="1:5" x14ac:dyDescent="0.25">
      <c r="A2324" s="4">
        <v>41994.885034722225</v>
      </c>
      <c r="B2324" s="2" t="s">
        <v>2020</v>
      </c>
      <c r="C2324" s="2" t="s">
        <v>74</v>
      </c>
      <c r="D2324" s="2" t="str">
        <f>"9781441113801"</f>
        <v>9781441113801</v>
      </c>
      <c r="E2324" s="2">
        <v>1190700</v>
      </c>
    </row>
    <row r="2325" spans="1:5" x14ac:dyDescent="0.25">
      <c r="A2325" s="4">
        <v>43227.546956018516</v>
      </c>
      <c r="B2325" s="2" t="s">
        <v>33</v>
      </c>
      <c r="C2325" s="2" t="s">
        <v>34</v>
      </c>
      <c r="D2325" s="2" t="str">
        <f>"9781780640921"</f>
        <v>9781780640921</v>
      </c>
      <c r="E2325" s="2">
        <v>4987107</v>
      </c>
    </row>
    <row r="2326" spans="1:5" x14ac:dyDescent="0.25">
      <c r="A2326" s="4">
        <v>41994.901944444442</v>
      </c>
      <c r="B2326" s="2" t="s">
        <v>910</v>
      </c>
      <c r="C2326" s="2" t="s">
        <v>119</v>
      </c>
      <c r="D2326" s="2" t="str">
        <f>"9780520947771"</f>
        <v>9780520947771</v>
      </c>
      <c r="E2326" s="2">
        <v>579798</v>
      </c>
    </row>
    <row r="2327" spans="1:5" x14ac:dyDescent="0.25">
      <c r="A2327" s="4">
        <v>41994.901921296296</v>
      </c>
      <c r="B2327" s="2" t="s">
        <v>957</v>
      </c>
      <c r="C2327" s="2" t="s">
        <v>119</v>
      </c>
      <c r="D2327" s="2" t="str">
        <f>"9780520940598"</f>
        <v>9780520940598</v>
      </c>
      <c r="E2327" s="2">
        <v>301114</v>
      </c>
    </row>
    <row r="2328" spans="1:5" x14ac:dyDescent="0.25">
      <c r="A2328" s="4">
        <v>41980.83284722222</v>
      </c>
      <c r="B2328" s="2" t="s">
        <v>2499</v>
      </c>
      <c r="C2328" s="2" t="s">
        <v>63</v>
      </c>
      <c r="D2328" s="2" t="str">
        <f>"9781400840434"</f>
        <v>9781400840434</v>
      </c>
      <c r="E2328" s="2">
        <v>729959</v>
      </c>
    </row>
    <row r="2329" spans="1:5" x14ac:dyDescent="0.25">
      <c r="A2329" s="4">
        <v>42096.655532407407</v>
      </c>
      <c r="B2329" s="2" t="s">
        <v>2243</v>
      </c>
      <c r="C2329" s="2" t="s">
        <v>74</v>
      </c>
      <c r="D2329" s="2" t="str">
        <f>"9781501305313"</f>
        <v>9781501305313</v>
      </c>
      <c r="E2329" s="2">
        <v>1745456</v>
      </c>
    </row>
    <row r="2330" spans="1:5" x14ac:dyDescent="0.25">
      <c r="A2330" s="4">
        <v>41976.752881944441</v>
      </c>
      <c r="B2330" s="2" t="s">
        <v>2243</v>
      </c>
      <c r="C2330" s="2" t="s">
        <v>74</v>
      </c>
      <c r="D2330" s="2" t="str">
        <f>"9781501305313"</f>
        <v>9781501305313</v>
      </c>
      <c r="E2330" s="2">
        <v>1745456</v>
      </c>
    </row>
    <row r="2331" spans="1:5" x14ac:dyDescent="0.25">
      <c r="A2331" s="4">
        <v>41994.892893518518</v>
      </c>
      <c r="B2331" s="2" t="s">
        <v>1790</v>
      </c>
      <c r="C2331" s="2" t="s">
        <v>16</v>
      </c>
      <c r="D2331" s="2" t="str">
        <f>"9781593855543"</f>
        <v>9781593855543</v>
      </c>
      <c r="E2331" s="2">
        <v>306778</v>
      </c>
    </row>
    <row r="2332" spans="1:5" x14ac:dyDescent="0.25">
      <c r="A2332" s="4">
        <v>41976.70784722222</v>
      </c>
      <c r="B2332" s="2" t="s">
        <v>2644</v>
      </c>
      <c r="C2332" s="2" t="s">
        <v>7</v>
      </c>
      <c r="D2332" s="2" t="str">
        <f>"9781849204309"</f>
        <v>9781849204309</v>
      </c>
      <c r="E2332" s="2">
        <v>483374</v>
      </c>
    </row>
    <row r="2333" spans="1:5" x14ac:dyDescent="0.25">
      <c r="A2333" s="4">
        <v>41994.899050925924</v>
      </c>
      <c r="B2333" s="2" t="s">
        <v>1389</v>
      </c>
      <c r="C2333" s="2" t="s">
        <v>63</v>
      </c>
      <c r="D2333" s="2" t="str">
        <f>"9781400834358"</f>
        <v>9781400834358</v>
      </c>
      <c r="E2333" s="2">
        <v>483526</v>
      </c>
    </row>
    <row r="2334" spans="1:5" x14ac:dyDescent="0.25">
      <c r="A2334" s="4">
        <v>41975.754189814812</v>
      </c>
      <c r="B2334" s="2" t="s">
        <v>2792</v>
      </c>
      <c r="C2334" s="2" t="s">
        <v>18</v>
      </c>
      <c r="D2334" s="2" t="str">
        <f>"9781408185759"</f>
        <v>9781408185759</v>
      </c>
      <c r="E2334" s="2">
        <v>1630358</v>
      </c>
    </row>
    <row r="2335" spans="1:5" x14ac:dyDescent="0.25">
      <c r="A2335" s="4">
        <v>41994.885034722225</v>
      </c>
      <c r="B2335" s="2" t="s">
        <v>2023</v>
      </c>
      <c r="C2335" s="2" t="s">
        <v>18</v>
      </c>
      <c r="D2335" s="2" t="str">
        <f>"9781441184801"</f>
        <v>9781441184801</v>
      </c>
      <c r="E2335" s="2">
        <v>1182087</v>
      </c>
    </row>
    <row r="2336" spans="1:5" x14ac:dyDescent="0.25">
      <c r="A2336" s="4">
        <v>41994.901898148149</v>
      </c>
      <c r="B2336" s="2" t="s">
        <v>1042</v>
      </c>
      <c r="C2336" s="2" t="s">
        <v>119</v>
      </c>
      <c r="D2336" s="2" t="str">
        <f>"9780520937178"</f>
        <v>9780520937178</v>
      </c>
      <c r="E2336" s="2">
        <v>223005</v>
      </c>
    </row>
    <row r="2337" spans="1:5" x14ac:dyDescent="0.25">
      <c r="A2337" s="4">
        <v>41994.885023148148</v>
      </c>
      <c r="B2337" s="2" t="s">
        <v>2044</v>
      </c>
      <c r="C2337" s="2" t="s">
        <v>18</v>
      </c>
      <c r="D2337" s="2" t="str">
        <f>"9781408147245"</f>
        <v>9781408147245</v>
      </c>
      <c r="E2337" s="2">
        <v>1050467</v>
      </c>
    </row>
    <row r="2338" spans="1:5" x14ac:dyDescent="0.25">
      <c r="A2338" s="4">
        <v>41994.896145833336</v>
      </c>
      <c r="B2338" s="2" t="s">
        <v>1496</v>
      </c>
      <c r="C2338" s="2" t="s">
        <v>28</v>
      </c>
      <c r="D2338" s="2" t="str">
        <f>"9780253008770"</f>
        <v>9780253008770</v>
      </c>
      <c r="E2338" s="2">
        <v>1025599</v>
      </c>
    </row>
    <row r="2339" spans="1:5" x14ac:dyDescent="0.25">
      <c r="A2339" s="4">
        <v>41994.899143518516</v>
      </c>
      <c r="B2339" s="2" t="s">
        <v>1080</v>
      </c>
      <c r="C2339" s="2" t="s">
        <v>63</v>
      </c>
      <c r="D2339" s="2" t="str">
        <f>"9781400851171"</f>
        <v>9781400851171</v>
      </c>
      <c r="E2339" s="2">
        <v>1637702</v>
      </c>
    </row>
    <row r="2340" spans="1:5" x14ac:dyDescent="0.25">
      <c r="A2340" s="4">
        <v>41994.90824074074</v>
      </c>
      <c r="B2340" s="2" t="s">
        <v>166</v>
      </c>
      <c r="C2340" s="2" t="s">
        <v>26</v>
      </c>
      <c r="D2340" s="2" t="str">
        <f>"9781119953623"</f>
        <v>9781119953623</v>
      </c>
      <c r="E2340" s="2">
        <v>822567</v>
      </c>
    </row>
    <row r="2341" spans="1:5" x14ac:dyDescent="0.25">
      <c r="A2341" s="4">
        <v>41994.899155092593</v>
      </c>
      <c r="B2341" s="2" t="s">
        <v>1074</v>
      </c>
      <c r="C2341" s="2" t="s">
        <v>63</v>
      </c>
      <c r="D2341" s="2" t="str">
        <f>"9781400851683"</f>
        <v>9781400851683</v>
      </c>
      <c r="E2341" s="2">
        <v>1651874</v>
      </c>
    </row>
    <row r="2342" spans="1:5" x14ac:dyDescent="0.25">
      <c r="A2342" s="4">
        <v>41994.892881944441</v>
      </c>
      <c r="B2342" s="2" t="s">
        <v>1793</v>
      </c>
      <c r="C2342" s="2" t="s">
        <v>16</v>
      </c>
      <c r="D2342" s="2" t="str">
        <f>"9781593859428"</f>
        <v>9781593859428</v>
      </c>
      <c r="E2342" s="2">
        <v>254487</v>
      </c>
    </row>
    <row r="2343" spans="1:5" x14ac:dyDescent="0.25">
      <c r="A2343" s="4">
        <v>41976.643946759257</v>
      </c>
      <c r="B2343" s="2" t="s">
        <v>2657</v>
      </c>
      <c r="C2343" s="2" t="s">
        <v>5</v>
      </c>
      <c r="D2343" s="2" t="str">
        <f>"9780857005908"</f>
        <v>9780857005908</v>
      </c>
      <c r="E2343" s="2">
        <v>918940</v>
      </c>
    </row>
    <row r="2344" spans="1:5" x14ac:dyDescent="0.25">
      <c r="A2344" s="4">
        <v>42886.492025462961</v>
      </c>
      <c r="B2344" s="2" t="s">
        <v>132</v>
      </c>
      <c r="C2344" s="2" t="s">
        <v>26</v>
      </c>
      <c r="D2344" s="2" t="str">
        <f>"9781118990582"</f>
        <v>9781118990582</v>
      </c>
      <c r="E2344" s="2">
        <v>4605105</v>
      </c>
    </row>
    <row r="2345" spans="1:5" x14ac:dyDescent="0.25">
      <c r="A2345" s="4">
        <v>41974.539305555554</v>
      </c>
      <c r="B2345" s="2" t="s">
        <v>2962</v>
      </c>
      <c r="C2345" s="2" t="s">
        <v>7</v>
      </c>
      <c r="D2345" s="2" t="str">
        <f>"9781412932950"</f>
        <v>9781412932950</v>
      </c>
      <c r="E2345" s="2">
        <v>254731</v>
      </c>
    </row>
    <row r="2346" spans="1:5" x14ac:dyDescent="0.25">
      <c r="A2346" s="4">
        <v>41976.00271990741</v>
      </c>
      <c r="B2346" s="2" t="s">
        <v>2739</v>
      </c>
      <c r="C2346" s="2" t="s">
        <v>36</v>
      </c>
      <c r="D2346" s="2" t="str">
        <f>"9780786453115"</f>
        <v>9780786453115</v>
      </c>
      <c r="E2346" s="2">
        <v>1594603</v>
      </c>
    </row>
    <row r="2347" spans="1:5" x14ac:dyDescent="0.25">
      <c r="A2347" s="4">
        <v>41994.884965277779</v>
      </c>
      <c r="B2347" s="2" t="s">
        <v>2160</v>
      </c>
      <c r="C2347" s="2" t="s">
        <v>18</v>
      </c>
      <c r="D2347" s="2" t="str">
        <f>"9781847143839"</f>
        <v>9781847143839</v>
      </c>
      <c r="E2347" s="2">
        <v>436264</v>
      </c>
    </row>
    <row r="2348" spans="1:5" x14ac:dyDescent="0.25">
      <c r="A2348" s="4">
        <v>41994.885057870371</v>
      </c>
      <c r="B2348" s="2" t="s">
        <v>1959</v>
      </c>
      <c r="C2348" s="2" t="s">
        <v>18</v>
      </c>
      <c r="D2348" s="2" t="str">
        <f>"9781472510419"</f>
        <v>9781472510419</v>
      </c>
      <c r="E2348" s="2">
        <v>1637121</v>
      </c>
    </row>
    <row r="2349" spans="1:5" x14ac:dyDescent="0.25">
      <c r="A2349" s="4">
        <v>41994.90556712963</v>
      </c>
      <c r="B2349" s="2" t="s">
        <v>621</v>
      </c>
      <c r="C2349" s="2" t="s">
        <v>424</v>
      </c>
      <c r="D2349" s="2" t="str">
        <f>"9780807863398"</f>
        <v>9780807863398</v>
      </c>
      <c r="E2349" s="2">
        <v>413252</v>
      </c>
    </row>
    <row r="2350" spans="1:5" x14ac:dyDescent="0.25">
      <c r="A2350" s="4">
        <v>41994.90824074074</v>
      </c>
      <c r="B2350" s="2" t="s">
        <v>179</v>
      </c>
      <c r="C2350" s="2" t="s">
        <v>26</v>
      </c>
      <c r="D2350" s="2" t="str">
        <f>"9781119975113"</f>
        <v>9781119975113</v>
      </c>
      <c r="E2350" s="2">
        <v>819252</v>
      </c>
    </row>
    <row r="2351" spans="1:5" x14ac:dyDescent="0.25">
      <c r="A2351" s="4">
        <v>41994.889861111114</v>
      </c>
      <c r="B2351" s="2" t="s">
        <v>1907</v>
      </c>
      <c r="C2351" s="2" t="s">
        <v>72</v>
      </c>
      <c r="D2351" s="2" t="str">
        <f>"9780748637607"</f>
        <v>9780748637607</v>
      </c>
      <c r="E2351" s="2">
        <v>448756</v>
      </c>
    </row>
    <row r="2352" spans="1:5" x14ac:dyDescent="0.25">
      <c r="A2352" s="4">
        <v>41994.899097222224</v>
      </c>
      <c r="B2352" s="2" t="s">
        <v>1272</v>
      </c>
      <c r="C2352" s="2" t="s">
        <v>63</v>
      </c>
      <c r="D2352" s="2" t="str">
        <f>"9781400839414"</f>
        <v>9781400839414</v>
      </c>
      <c r="E2352" s="2">
        <v>775170</v>
      </c>
    </row>
    <row r="2353" spans="1:5" x14ac:dyDescent="0.25">
      <c r="A2353" s="4">
        <v>41915.35869212963</v>
      </c>
      <c r="B2353" s="2" t="s">
        <v>3500</v>
      </c>
      <c r="C2353" s="2" t="s">
        <v>63</v>
      </c>
      <c r="D2353" s="2" t="str">
        <f>"9781400850150"</f>
        <v>9781400850150</v>
      </c>
      <c r="E2353" s="2">
        <v>1589168</v>
      </c>
    </row>
    <row r="2354" spans="1:5" x14ac:dyDescent="0.25">
      <c r="A2354" s="4">
        <v>41994.899108796293</v>
      </c>
      <c r="B2354" s="2" t="s">
        <v>1234</v>
      </c>
      <c r="C2354" s="2" t="s">
        <v>63</v>
      </c>
      <c r="D2354" s="2" t="str">
        <f>"9781400842414"</f>
        <v>9781400842414</v>
      </c>
      <c r="E2354" s="2">
        <v>878313</v>
      </c>
    </row>
    <row r="2355" spans="1:5" x14ac:dyDescent="0.25">
      <c r="A2355" s="4">
        <v>41931.473796296297</v>
      </c>
      <c r="B2355" s="2" t="s">
        <v>3145</v>
      </c>
      <c r="C2355" s="2" t="s">
        <v>26</v>
      </c>
      <c r="D2355" s="2" t="str">
        <f>"9781444307979"</f>
        <v>9781444307979</v>
      </c>
      <c r="E2355" s="2">
        <v>514408</v>
      </c>
    </row>
    <row r="2356" spans="1:5" x14ac:dyDescent="0.25">
      <c r="A2356" s="4">
        <v>41994.899097222224</v>
      </c>
      <c r="B2356" s="2" t="s">
        <v>1245</v>
      </c>
      <c r="C2356" s="2" t="s">
        <v>63</v>
      </c>
      <c r="D2356" s="2" t="str">
        <f>"9781400830497"</f>
        <v>9781400830497</v>
      </c>
      <c r="E2356" s="2">
        <v>861455</v>
      </c>
    </row>
    <row r="2357" spans="1:5" x14ac:dyDescent="0.25">
      <c r="A2357" s="4">
        <v>41899.887916666667</v>
      </c>
      <c r="B2357" s="2" t="s">
        <v>3845</v>
      </c>
      <c r="C2357" s="2" t="s">
        <v>160</v>
      </c>
      <c r="D2357" s="2" t="str">
        <f>"9780470711453"</f>
        <v>9780470711453</v>
      </c>
      <c r="E2357" s="2">
        <v>565144</v>
      </c>
    </row>
    <row r="2358" spans="1:5" x14ac:dyDescent="0.25">
      <c r="A2358" s="4">
        <v>41994.885023148148</v>
      </c>
      <c r="B2358" s="2" t="s">
        <v>2026</v>
      </c>
      <c r="C2358" s="2" t="s">
        <v>18</v>
      </c>
      <c r="D2358" s="2" t="str">
        <f>"9781441145536"</f>
        <v>9781441145536</v>
      </c>
      <c r="E2358" s="2">
        <v>1172517</v>
      </c>
    </row>
    <row r="2359" spans="1:5" x14ac:dyDescent="0.25">
      <c r="A2359" s="4">
        <v>41935.496620370373</v>
      </c>
      <c r="B2359" s="2" t="s">
        <v>3034</v>
      </c>
      <c r="C2359" s="2" t="s">
        <v>26</v>
      </c>
      <c r="D2359" s="2" t="str">
        <f>"9781444397574"</f>
        <v>9781444397574</v>
      </c>
      <c r="E2359" s="2">
        <v>661840</v>
      </c>
    </row>
    <row r="2360" spans="1:5" x14ac:dyDescent="0.25">
      <c r="A2360" s="4">
        <v>41994.885046296295</v>
      </c>
      <c r="B2360" s="2" t="s">
        <v>1994</v>
      </c>
      <c r="C2360" s="2" t="s">
        <v>18</v>
      </c>
      <c r="D2360" s="2" t="str">
        <f>"9781441190963"</f>
        <v>9781441190963</v>
      </c>
      <c r="E2360" s="2">
        <v>1394915</v>
      </c>
    </row>
    <row r="2361" spans="1:5" x14ac:dyDescent="0.25">
      <c r="A2361" s="4">
        <v>41905.464108796295</v>
      </c>
      <c r="B2361" s="2" t="s">
        <v>3744</v>
      </c>
      <c r="C2361" s="2" t="s">
        <v>26</v>
      </c>
      <c r="D2361" s="2" t="str">
        <f>"9781444358544"</f>
        <v>9781444358544</v>
      </c>
      <c r="E2361" s="2">
        <v>819405</v>
      </c>
    </row>
    <row r="2362" spans="1:5" x14ac:dyDescent="0.25">
      <c r="A2362" s="4">
        <v>41977.686469907407</v>
      </c>
      <c r="B2362" s="2" t="s">
        <v>2593</v>
      </c>
      <c r="C2362" s="2" t="s">
        <v>2283</v>
      </c>
      <c r="D2362" s="2" t="str">
        <f>"9789027291394"</f>
        <v>9789027291394</v>
      </c>
      <c r="E2362" s="2">
        <v>622973</v>
      </c>
    </row>
    <row r="2363" spans="1:5" x14ac:dyDescent="0.25">
      <c r="A2363" s="4">
        <v>41974.497858796298</v>
      </c>
      <c r="B2363" s="2" t="s">
        <v>2974</v>
      </c>
      <c r="C2363" s="2" t="s">
        <v>160</v>
      </c>
      <c r="D2363" s="2" t="str">
        <f>"9780470482940"</f>
        <v>9780470482940</v>
      </c>
      <c r="E2363" s="2">
        <v>427688</v>
      </c>
    </row>
    <row r="2364" spans="1:5" x14ac:dyDescent="0.25">
      <c r="A2364" s="4">
        <v>41983.464918981481</v>
      </c>
      <c r="B2364" s="2" t="s">
        <v>2410</v>
      </c>
      <c r="C2364" s="2" t="s">
        <v>26</v>
      </c>
      <c r="D2364" s="2" t="str">
        <f>"9780470684399"</f>
        <v>9780470684399</v>
      </c>
      <c r="E2364" s="2">
        <v>470267</v>
      </c>
    </row>
    <row r="2365" spans="1:5" x14ac:dyDescent="0.25">
      <c r="A2365" s="4">
        <v>43194.613993055558</v>
      </c>
      <c r="B2365" s="2" t="s">
        <v>66</v>
      </c>
      <c r="C2365" s="2" t="s">
        <v>63</v>
      </c>
      <c r="D2365" s="2" t="str">
        <f>"9781400878451"</f>
        <v>9781400878451</v>
      </c>
      <c r="E2365" s="2">
        <v>4071077</v>
      </c>
    </row>
    <row r="2366" spans="1:5" x14ac:dyDescent="0.25">
      <c r="A2366" s="4">
        <v>41977.365902777776</v>
      </c>
      <c r="B2366" s="2" t="s">
        <v>2618</v>
      </c>
      <c r="C2366" s="2" t="s">
        <v>26</v>
      </c>
      <c r="D2366" s="2" t="str">
        <f>"9780470451526"</f>
        <v>9780470451526</v>
      </c>
      <c r="E2366" s="2">
        <v>416215</v>
      </c>
    </row>
    <row r="2367" spans="1:5" x14ac:dyDescent="0.25">
      <c r="A2367" s="4">
        <v>41902.769317129627</v>
      </c>
      <c r="B2367" s="2" t="s">
        <v>3801</v>
      </c>
      <c r="C2367" s="2" t="s">
        <v>160</v>
      </c>
      <c r="D2367" s="2" t="str">
        <f>"9780470561379"</f>
        <v>9780470561379</v>
      </c>
      <c r="E2367" s="2">
        <v>706636</v>
      </c>
    </row>
    <row r="2368" spans="1:5" x14ac:dyDescent="0.25">
      <c r="A2368" s="4">
        <v>41924.642500000002</v>
      </c>
      <c r="B2368" s="2" t="s">
        <v>3293</v>
      </c>
      <c r="C2368" s="2" t="s">
        <v>96</v>
      </c>
      <c r="D2368" s="2" t="str">
        <f>"9780807898390"</f>
        <v>9780807898390</v>
      </c>
      <c r="E2368" s="2">
        <v>716595</v>
      </c>
    </row>
    <row r="2369" spans="1:5" x14ac:dyDescent="0.25">
      <c r="A2369" s="4">
        <v>41994.896134259259</v>
      </c>
      <c r="B2369" s="2" t="s">
        <v>1532</v>
      </c>
      <c r="C2369" s="2" t="s">
        <v>28</v>
      </c>
      <c r="D2369" s="2" t="str">
        <f>"9780253001733"</f>
        <v>9780253001733</v>
      </c>
      <c r="E2369" s="2">
        <v>713704</v>
      </c>
    </row>
    <row r="2370" spans="1:5" x14ac:dyDescent="0.25">
      <c r="A2370" s="4">
        <v>41978.613807870373</v>
      </c>
      <c r="B2370" s="2" t="s">
        <v>2566</v>
      </c>
      <c r="C2370" s="2" t="s">
        <v>36</v>
      </c>
      <c r="D2370" s="2" t="str">
        <f>"9780786484737"</f>
        <v>9780786484737</v>
      </c>
      <c r="E2370" s="2">
        <v>768109</v>
      </c>
    </row>
    <row r="2371" spans="1:5" x14ac:dyDescent="0.25">
      <c r="A2371" s="4">
        <v>41994.896134259259</v>
      </c>
      <c r="B2371" s="2" t="s">
        <v>1522</v>
      </c>
      <c r="C2371" s="2" t="s">
        <v>28</v>
      </c>
      <c r="D2371" s="2" t="str">
        <f>"9780253001306"</f>
        <v>9780253001306</v>
      </c>
      <c r="E2371" s="2">
        <v>816833</v>
      </c>
    </row>
    <row r="2372" spans="1:5" x14ac:dyDescent="0.25">
      <c r="A2372" s="4">
        <v>41926.648576388892</v>
      </c>
      <c r="B2372" s="2" t="s">
        <v>3239</v>
      </c>
      <c r="C2372" s="2" t="s">
        <v>26</v>
      </c>
      <c r="D2372" s="2" t="str">
        <f>"9780470605448"</f>
        <v>9780470605448</v>
      </c>
      <c r="E2372" s="2">
        <v>469710</v>
      </c>
    </row>
    <row r="2373" spans="1:5" x14ac:dyDescent="0.25">
      <c r="A2373" s="4">
        <v>41994.885000000002</v>
      </c>
      <c r="B2373" s="2" t="s">
        <v>2097</v>
      </c>
      <c r="C2373" s="2" t="s">
        <v>18</v>
      </c>
      <c r="D2373" s="2" t="str">
        <f>"9781441155948"</f>
        <v>9781441155948</v>
      </c>
      <c r="E2373" s="2">
        <v>711082</v>
      </c>
    </row>
    <row r="2374" spans="1:5" x14ac:dyDescent="0.25">
      <c r="A2374" s="4">
        <v>41994.884988425925</v>
      </c>
      <c r="B2374" s="2" t="s">
        <v>2130</v>
      </c>
      <c r="C2374" s="2" t="s">
        <v>18</v>
      </c>
      <c r="D2374" s="2" t="str">
        <f>"9781441157348"</f>
        <v>9781441157348</v>
      </c>
      <c r="E2374" s="2">
        <v>601691</v>
      </c>
    </row>
    <row r="2375" spans="1:5" x14ac:dyDescent="0.25">
      <c r="A2375" s="4">
        <v>41987.699328703704</v>
      </c>
      <c r="B2375" s="2" t="s">
        <v>2312</v>
      </c>
      <c r="C2375" s="2" t="s">
        <v>26</v>
      </c>
      <c r="D2375" s="2" t="str">
        <f>"9780470905043"</f>
        <v>9780470905043</v>
      </c>
      <c r="E2375" s="2">
        <v>624435</v>
      </c>
    </row>
    <row r="2376" spans="1:5" x14ac:dyDescent="0.25">
      <c r="A2376" s="4">
        <v>41976.063483796293</v>
      </c>
      <c r="B2376" s="2" t="s">
        <v>2732</v>
      </c>
      <c r="C2376" s="2" t="s">
        <v>63</v>
      </c>
      <c r="D2376" s="2" t="str">
        <f>"9781400836543"</f>
        <v>9781400836543</v>
      </c>
      <c r="E2376" s="2">
        <v>574433</v>
      </c>
    </row>
    <row r="2377" spans="1:5" x14ac:dyDescent="0.25">
      <c r="A2377" s="4">
        <v>41994.896122685182</v>
      </c>
      <c r="B2377" s="2" t="s">
        <v>1563</v>
      </c>
      <c r="C2377" s="2" t="s">
        <v>28</v>
      </c>
      <c r="D2377" s="2" t="str">
        <f>"9780253005120"</f>
        <v>9780253005120</v>
      </c>
      <c r="E2377" s="2">
        <v>670270</v>
      </c>
    </row>
    <row r="2378" spans="1:5" x14ac:dyDescent="0.25">
      <c r="A2378" s="4">
        <v>41994.901956018519</v>
      </c>
      <c r="B2378" s="2" t="s">
        <v>856</v>
      </c>
      <c r="C2378" s="2" t="s">
        <v>119</v>
      </c>
      <c r="D2378" s="2" t="str">
        <f>"9780520950252"</f>
        <v>9780520950252</v>
      </c>
      <c r="E2378" s="2">
        <v>730034</v>
      </c>
    </row>
    <row r="2379" spans="1:5" x14ac:dyDescent="0.25">
      <c r="A2379" s="4">
        <v>41994.908206018517</v>
      </c>
      <c r="B2379" s="2" t="s">
        <v>286</v>
      </c>
      <c r="C2379" s="2" t="s">
        <v>26</v>
      </c>
      <c r="D2379" s="2" t="str">
        <f>"9780470828915"</f>
        <v>9780470828915</v>
      </c>
      <c r="E2379" s="2">
        <v>661658</v>
      </c>
    </row>
    <row r="2380" spans="1:5" x14ac:dyDescent="0.25">
      <c r="A2380" s="4">
        <v>41994.902002314811</v>
      </c>
      <c r="B2380" s="2" t="s">
        <v>698</v>
      </c>
      <c r="C2380" s="2" t="s">
        <v>119</v>
      </c>
      <c r="D2380" s="2" t="str">
        <f>"9780520956698"</f>
        <v>9780520956698</v>
      </c>
      <c r="E2380" s="2">
        <v>1318189</v>
      </c>
    </row>
    <row r="2381" spans="1:5" x14ac:dyDescent="0.25">
      <c r="A2381" s="4">
        <v>41994.896180555559</v>
      </c>
      <c r="B2381" s="2" t="s">
        <v>1433</v>
      </c>
      <c r="C2381" s="2" t="s">
        <v>28</v>
      </c>
      <c r="D2381" s="2" t="str">
        <f>"9780253015051"</f>
        <v>9780253015051</v>
      </c>
      <c r="E2381" s="2">
        <v>1865436</v>
      </c>
    </row>
    <row r="2382" spans="1:5" x14ac:dyDescent="0.25">
      <c r="A2382" s="4">
        <v>41994.896180555559</v>
      </c>
      <c r="B2382" s="2" t="s">
        <v>1444</v>
      </c>
      <c r="C2382" s="2" t="s">
        <v>28</v>
      </c>
      <c r="D2382" s="2" t="str">
        <f>"9780253012630"</f>
        <v>9780253012630</v>
      </c>
      <c r="E2382" s="2">
        <v>1680203</v>
      </c>
    </row>
    <row r="2383" spans="1:5" x14ac:dyDescent="0.25">
      <c r="A2383" s="4">
        <v>41994.896180555559</v>
      </c>
      <c r="B2383" s="2" t="s">
        <v>1435</v>
      </c>
      <c r="C2383" s="2" t="s">
        <v>28</v>
      </c>
      <c r="D2383" s="2" t="str">
        <f>"9780253015389"</f>
        <v>9780253015389</v>
      </c>
      <c r="E2383" s="2">
        <v>1822938</v>
      </c>
    </row>
    <row r="2384" spans="1:5" x14ac:dyDescent="0.25">
      <c r="A2384" s="4">
        <v>41994.902025462965</v>
      </c>
      <c r="B2384" s="2" t="s">
        <v>644</v>
      </c>
      <c r="C2384" s="2" t="s">
        <v>119</v>
      </c>
      <c r="D2384" s="2" t="str">
        <f>"9780520958760"</f>
        <v>9780520958760</v>
      </c>
      <c r="E2384" s="2">
        <v>1711022</v>
      </c>
    </row>
    <row r="2385" spans="1:5" x14ac:dyDescent="0.25">
      <c r="A2385" s="4">
        <v>41927.864895833336</v>
      </c>
      <c r="B2385" s="2" t="s">
        <v>3207</v>
      </c>
      <c r="C2385" s="2" t="s">
        <v>26</v>
      </c>
      <c r="D2385" s="2" t="str">
        <f>"9780470501269"</f>
        <v>9780470501269</v>
      </c>
      <c r="E2385" s="2">
        <v>448871</v>
      </c>
    </row>
    <row r="2386" spans="1:5" x14ac:dyDescent="0.25">
      <c r="A2386" s="4">
        <v>41988.442256944443</v>
      </c>
      <c r="B2386" s="2" t="s">
        <v>2296</v>
      </c>
      <c r="C2386" s="2" t="s">
        <v>119</v>
      </c>
      <c r="D2386" s="2" t="str">
        <f>"9780520953796"</f>
        <v>9780520953796</v>
      </c>
      <c r="E2386" s="2">
        <v>1068764</v>
      </c>
    </row>
    <row r="2387" spans="1:5" x14ac:dyDescent="0.25">
      <c r="A2387" s="4">
        <v>41994.899074074077</v>
      </c>
      <c r="B2387" s="2" t="s">
        <v>1325</v>
      </c>
      <c r="C2387" s="2" t="s">
        <v>63</v>
      </c>
      <c r="D2387" s="2" t="str">
        <f>"9781400838202"</f>
        <v>9781400838202</v>
      </c>
      <c r="E2387" s="2">
        <v>664583</v>
      </c>
    </row>
    <row r="2388" spans="1:5" x14ac:dyDescent="0.25">
      <c r="A2388" s="4">
        <v>41994.889918981484</v>
      </c>
      <c r="B2388" s="2" t="s">
        <v>1838</v>
      </c>
      <c r="C2388" s="2" t="s">
        <v>72</v>
      </c>
      <c r="D2388" s="2" t="str">
        <f>"9780748656189"</f>
        <v>9780748656189</v>
      </c>
      <c r="E2388" s="2">
        <v>1126575</v>
      </c>
    </row>
    <row r="2389" spans="1:5" x14ac:dyDescent="0.25">
      <c r="A2389" s="4">
        <v>41976.468460648146</v>
      </c>
      <c r="B2389" s="2" t="s">
        <v>2708</v>
      </c>
      <c r="C2389" s="2" t="s">
        <v>63</v>
      </c>
      <c r="D2389" s="2" t="str">
        <f>"9781400844128"</f>
        <v>9781400844128</v>
      </c>
      <c r="E2389" s="2">
        <v>1565233</v>
      </c>
    </row>
    <row r="2390" spans="1:5" x14ac:dyDescent="0.25">
      <c r="A2390" s="4">
        <v>41994.899097222224</v>
      </c>
      <c r="B2390" s="2" t="s">
        <v>1242</v>
      </c>
      <c r="C2390" s="2" t="s">
        <v>63</v>
      </c>
      <c r="D2390" s="2" t="str">
        <f>"9781400842599"</f>
        <v>9781400842599</v>
      </c>
      <c r="E2390" s="2">
        <v>864789</v>
      </c>
    </row>
    <row r="2391" spans="1:5" x14ac:dyDescent="0.25">
      <c r="A2391" s="4">
        <v>41994.878750000003</v>
      </c>
      <c r="B2391" s="2" t="s">
        <v>2201</v>
      </c>
      <c r="C2391" s="2" t="s">
        <v>2170</v>
      </c>
      <c r="D2391" s="2" t="str">
        <f>"9781848138988"</f>
        <v>9781848138988</v>
      </c>
      <c r="E2391" s="2">
        <v>773748</v>
      </c>
    </row>
    <row r="2392" spans="1:5" x14ac:dyDescent="0.25">
      <c r="A2392" s="4">
        <v>41977.675150462965</v>
      </c>
      <c r="B2392" s="2" t="s">
        <v>2595</v>
      </c>
      <c r="C2392" s="2" t="s">
        <v>63</v>
      </c>
      <c r="D2392" s="2" t="str">
        <f>"9781400846399"</f>
        <v>9781400846399</v>
      </c>
      <c r="E2392" s="2">
        <v>1131668</v>
      </c>
    </row>
    <row r="2393" spans="1:5" x14ac:dyDescent="0.25">
      <c r="A2393" s="4">
        <v>41994.885000000002</v>
      </c>
      <c r="B2393" s="2" t="s">
        <v>2092</v>
      </c>
      <c r="C2393" s="2" t="s">
        <v>1934</v>
      </c>
      <c r="D2393" s="2" t="str">
        <f>"9781849664271"</f>
        <v>9781849664271</v>
      </c>
      <c r="E2393" s="2">
        <v>738770</v>
      </c>
    </row>
    <row r="2394" spans="1:5" x14ac:dyDescent="0.25">
      <c r="A2394" s="4">
        <v>41994.878738425927</v>
      </c>
      <c r="B2394" s="2" t="s">
        <v>2223</v>
      </c>
      <c r="C2394" s="2" t="s">
        <v>2170</v>
      </c>
      <c r="D2394" s="2" t="str">
        <f>"9781848131613"</f>
        <v>9781848131613</v>
      </c>
      <c r="E2394" s="2">
        <v>332945</v>
      </c>
    </row>
    <row r="2395" spans="1:5" x14ac:dyDescent="0.25">
      <c r="A2395" s="4">
        <v>41994.899155092593</v>
      </c>
      <c r="B2395" s="2" t="s">
        <v>1070</v>
      </c>
      <c r="C2395" s="2" t="s">
        <v>63</v>
      </c>
      <c r="D2395" s="2" t="str">
        <f>"9781400852819"</f>
        <v>9781400852819</v>
      </c>
      <c r="E2395" s="2">
        <v>1680268</v>
      </c>
    </row>
    <row r="2396" spans="1:5" x14ac:dyDescent="0.25">
      <c r="A2396" s="4">
        <v>41975.731157407405</v>
      </c>
      <c r="B2396" s="2" t="s">
        <v>2796</v>
      </c>
      <c r="C2396" s="2" t="s">
        <v>424</v>
      </c>
      <c r="D2396" s="2" t="str">
        <f>"9780807860984"</f>
        <v>9780807860984</v>
      </c>
      <c r="E2396" s="2">
        <v>413420</v>
      </c>
    </row>
    <row r="2397" spans="1:5" x14ac:dyDescent="0.25">
      <c r="A2397" s="4">
        <v>41994.884988425925</v>
      </c>
      <c r="B2397" s="2" t="s">
        <v>2122</v>
      </c>
      <c r="C2397" s="2" t="s">
        <v>18</v>
      </c>
      <c r="D2397" s="2" t="str">
        <f>"9781441136084"</f>
        <v>9781441136084</v>
      </c>
      <c r="E2397" s="2">
        <v>601852</v>
      </c>
    </row>
    <row r="2398" spans="1:5" x14ac:dyDescent="0.25">
      <c r="A2398" s="4">
        <v>41994.899155092593</v>
      </c>
      <c r="B2398" s="2" t="s">
        <v>1060</v>
      </c>
      <c r="C2398" s="2" t="s">
        <v>63</v>
      </c>
      <c r="D2398" s="2" t="str">
        <f>"9781400855032"</f>
        <v>9781400855032</v>
      </c>
      <c r="E2398" s="2">
        <v>1701071</v>
      </c>
    </row>
    <row r="2399" spans="1:5" x14ac:dyDescent="0.25">
      <c r="A2399" s="4">
        <v>41984.529444444444</v>
      </c>
      <c r="B2399" s="2" t="s">
        <v>2368</v>
      </c>
      <c r="C2399" s="2" t="s">
        <v>63</v>
      </c>
      <c r="D2399" s="2" t="str">
        <f>"9781400832132"</f>
        <v>9781400832132</v>
      </c>
      <c r="E2399" s="2">
        <v>483547</v>
      </c>
    </row>
    <row r="2400" spans="1:5" x14ac:dyDescent="0.25">
      <c r="A2400" s="4">
        <v>41919.442430555559</v>
      </c>
      <c r="B2400" s="2" t="s">
        <v>3399</v>
      </c>
      <c r="C2400" s="2" t="s">
        <v>63</v>
      </c>
      <c r="D2400" s="2" t="str">
        <f>"9781400826100"</f>
        <v>9781400826100</v>
      </c>
      <c r="E2400" s="2">
        <v>445575</v>
      </c>
    </row>
    <row r="2401" spans="1:5" x14ac:dyDescent="0.25">
      <c r="A2401" s="4">
        <v>41905.442696759259</v>
      </c>
      <c r="B2401" s="2" t="s">
        <v>3745</v>
      </c>
      <c r="C2401" s="2" t="s">
        <v>63</v>
      </c>
      <c r="D2401" s="2" t="str">
        <f>"9781400841080"</f>
        <v>9781400841080</v>
      </c>
      <c r="E2401" s="2">
        <v>768545</v>
      </c>
    </row>
    <row r="2402" spans="1:5" x14ac:dyDescent="0.25">
      <c r="A2402" s="4">
        <v>41994.905590277776</v>
      </c>
      <c r="B2402" s="2" t="s">
        <v>555</v>
      </c>
      <c r="C2402" s="2" t="s">
        <v>424</v>
      </c>
      <c r="D2402" s="2" t="str">
        <f>"9780807869291"</f>
        <v>9780807869291</v>
      </c>
      <c r="E2402" s="2">
        <v>732138</v>
      </c>
    </row>
    <row r="2403" spans="1:5" x14ac:dyDescent="0.25">
      <c r="A2403" s="4">
        <v>41994.90556712963</v>
      </c>
      <c r="B2403" s="2" t="s">
        <v>612</v>
      </c>
      <c r="C2403" s="2" t="s">
        <v>424</v>
      </c>
      <c r="D2403" s="2" t="str">
        <f>"9780807876985"</f>
        <v>9780807876985</v>
      </c>
      <c r="E2403" s="2">
        <v>413413</v>
      </c>
    </row>
    <row r="2404" spans="1:5" x14ac:dyDescent="0.25">
      <c r="A2404" s="4">
        <v>41994.889884259261</v>
      </c>
      <c r="B2404" s="2" t="s">
        <v>1872</v>
      </c>
      <c r="C2404" s="2" t="s">
        <v>72</v>
      </c>
      <c r="D2404" s="2" t="str">
        <f>"9780748646074"</f>
        <v>9780748646074</v>
      </c>
      <c r="E2404" s="2">
        <v>714140</v>
      </c>
    </row>
    <row r="2405" spans="1:5" x14ac:dyDescent="0.25">
      <c r="A2405" s="4">
        <v>41977.623414351852</v>
      </c>
      <c r="B2405" s="2" t="s">
        <v>2599</v>
      </c>
      <c r="C2405" s="2" t="s">
        <v>2600</v>
      </c>
      <c r="D2405" s="2" t="str">
        <f>"9781847883711"</f>
        <v>9781847883711</v>
      </c>
      <c r="E2405" s="2">
        <v>533072</v>
      </c>
    </row>
    <row r="2406" spans="1:5" x14ac:dyDescent="0.25">
      <c r="A2406" s="4">
        <v>41994.901909722219</v>
      </c>
      <c r="B2406" s="2" t="s">
        <v>1023</v>
      </c>
      <c r="C2406" s="2" t="s">
        <v>119</v>
      </c>
      <c r="D2406" s="2" t="str">
        <f>"9780520939714"</f>
        <v>9780520939714</v>
      </c>
      <c r="E2406" s="2">
        <v>223652</v>
      </c>
    </row>
    <row r="2407" spans="1:5" x14ac:dyDescent="0.25">
      <c r="A2407" s="4">
        <v>41936.535833333335</v>
      </c>
      <c r="B2407" s="2" t="s">
        <v>3002</v>
      </c>
      <c r="C2407" s="2" t="s">
        <v>74</v>
      </c>
      <c r="D2407" s="2" t="str">
        <f>"9781441109132"</f>
        <v>9781441109132</v>
      </c>
      <c r="E2407" s="2">
        <v>601514</v>
      </c>
    </row>
    <row r="2408" spans="1:5" x14ac:dyDescent="0.25">
      <c r="A2408" s="4">
        <v>41994.901898148149</v>
      </c>
      <c r="B2408" s="2" t="s">
        <v>1031</v>
      </c>
      <c r="C2408" s="2" t="s">
        <v>119</v>
      </c>
      <c r="D2408" s="2" t="str">
        <f>"9780520936881"</f>
        <v>9780520936881</v>
      </c>
      <c r="E2408" s="2">
        <v>223359</v>
      </c>
    </row>
    <row r="2409" spans="1:5" x14ac:dyDescent="0.25">
      <c r="A2409" s="4">
        <v>41994.892916666664</v>
      </c>
      <c r="B2409" s="2" t="s">
        <v>1726</v>
      </c>
      <c r="C2409" s="2" t="s">
        <v>16</v>
      </c>
      <c r="D2409" s="2" t="str">
        <f>"9781609180676"</f>
        <v>9781609180676</v>
      </c>
      <c r="E2409" s="2">
        <v>655567</v>
      </c>
    </row>
    <row r="2410" spans="1:5" x14ac:dyDescent="0.25">
      <c r="A2410" s="4">
        <v>41904.496111111112</v>
      </c>
      <c r="B2410" s="2" t="s">
        <v>3778</v>
      </c>
      <c r="C2410" s="2" t="s">
        <v>2170</v>
      </c>
      <c r="D2410" s="2" t="str">
        <f>"9781848139121"</f>
        <v>9781848139121</v>
      </c>
      <c r="E2410" s="2">
        <v>619255</v>
      </c>
    </row>
    <row r="2411" spans="1:5" x14ac:dyDescent="0.25">
      <c r="A2411" s="4">
        <v>41994.899085648147</v>
      </c>
      <c r="B2411" s="2" t="s">
        <v>1301</v>
      </c>
      <c r="C2411" s="2" t="s">
        <v>63</v>
      </c>
      <c r="D2411" s="2" t="str">
        <f>"9781400840489"</f>
        <v>9781400840489</v>
      </c>
      <c r="E2411" s="2">
        <v>712175</v>
      </c>
    </row>
    <row r="2412" spans="1:5" x14ac:dyDescent="0.25">
      <c r="A2412" s="4">
        <v>41994.892928240741</v>
      </c>
      <c r="B2412" s="2" t="s">
        <v>1701</v>
      </c>
      <c r="C2412" s="2" t="s">
        <v>16</v>
      </c>
      <c r="D2412" s="2" t="str">
        <f>"9781609189747"</f>
        <v>9781609189747</v>
      </c>
      <c r="E2412" s="2">
        <v>800607</v>
      </c>
    </row>
    <row r="2413" spans="1:5" x14ac:dyDescent="0.25">
      <c r="A2413" s="4">
        <v>41912.080300925925</v>
      </c>
      <c r="B2413" s="2" t="s">
        <v>3577</v>
      </c>
      <c r="C2413" s="2" t="s">
        <v>2404</v>
      </c>
      <c r="D2413" s="2" t="str">
        <f>"9780335241965"</f>
        <v>9780335241965</v>
      </c>
      <c r="E2413" s="2">
        <v>729517</v>
      </c>
    </row>
    <row r="2414" spans="1:5" x14ac:dyDescent="0.25">
      <c r="A2414" s="4">
        <v>41994.908229166664</v>
      </c>
      <c r="B2414" s="2" t="s">
        <v>209</v>
      </c>
      <c r="C2414" s="2" t="s">
        <v>26</v>
      </c>
      <c r="D2414" s="2" t="str">
        <f>"9781119990406"</f>
        <v>9781119990406</v>
      </c>
      <c r="E2414" s="2">
        <v>792449</v>
      </c>
    </row>
    <row r="2415" spans="1:5" x14ac:dyDescent="0.25">
      <c r="A2415" s="4">
        <v>41913.966990740744</v>
      </c>
      <c r="B2415" s="2" t="s">
        <v>3526</v>
      </c>
      <c r="C2415" s="2" t="s">
        <v>2404</v>
      </c>
      <c r="D2415" s="2" t="str">
        <f>"9780335247219"</f>
        <v>9780335247219</v>
      </c>
      <c r="E2415" s="2">
        <v>1037310</v>
      </c>
    </row>
    <row r="2416" spans="1:5" x14ac:dyDescent="0.25">
      <c r="A2416" s="4">
        <v>43146.50408564815</v>
      </c>
      <c r="B2416" s="2" t="s">
        <v>92</v>
      </c>
      <c r="C2416" s="2" t="s">
        <v>26</v>
      </c>
      <c r="D2416" s="2" t="str">
        <f>"9781118926123"</f>
        <v>9781118926123</v>
      </c>
      <c r="E2416" s="2">
        <v>2048551</v>
      </c>
    </row>
    <row r="2417" spans="1:5" x14ac:dyDescent="0.25">
      <c r="A2417" s="4">
        <v>41921.562777777777</v>
      </c>
      <c r="B2417" s="2" t="s">
        <v>3341</v>
      </c>
      <c r="C2417" s="2" t="s">
        <v>74</v>
      </c>
      <c r="D2417" s="2" t="str">
        <f>"9781441110473"</f>
        <v>9781441110473</v>
      </c>
      <c r="E2417" s="2">
        <v>894564</v>
      </c>
    </row>
    <row r="2418" spans="1:5" x14ac:dyDescent="0.25">
      <c r="A2418" s="4">
        <v>41994.889872685184</v>
      </c>
      <c r="B2418" s="2" t="s">
        <v>1898</v>
      </c>
      <c r="C2418" s="2" t="s">
        <v>72</v>
      </c>
      <c r="D2418" s="2" t="str">
        <f>"9780748642441"</f>
        <v>9780748642441</v>
      </c>
      <c r="E2418" s="2">
        <v>564504</v>
      </c>
    </row>
    <row r="2419" spans="1:5" x14ac:dyDescent="0.25">
      <c r="A2419" s="4">
        <v>41994.896122685182</v>
      </c>
      <c r="B2419" s="2" t="s">
        <v>1552</v>
      </c>
      <c r="C2419" s="2" t="s">
        <v>28</v>
      </c>
      <c r="D2419" s="2" t="str">
        <f>"9780253005502"</f>
        <v>9780253005502</v>
      </c>
      <c r="E2419" s="2">
        <v>670305</v>
      </c>
    </row>
    <row r="2420" spans="1:5" x14ac:dyDescent="0.25">
      <c r="A2420" s="4">
        <v>41916.955381944441</v>
      </c>
      <c r="B2420" s="2" t="s">
        <v>3468</v>
      </c>
      <c r="C2420" s="2" t="s">
        <v>26</v>
      </c>
      <c r="D2420" s="2" t="str">
        <f>"9780470712511"</f>
        <v>9780470712511</v>
      </c>
      <c r="E2420" s="2">
        <v>366884</v>
      </c>
    </row>
    <row r="2421" spans="1:5" x14ac:dyDescent="0.25">
      <c r="A2421" s="4">
        <v>41994.899062500001</v>
      </c>
      <c r="B2421" s="2" t="s">
        <v>1374</v>
      </c>
      <c r="C2421" s="2" t="s">
        <v>63</v>
      </c>
      <c r="D2421" s="2" t="str">
        <f>"9781400834914"</f>
        <v>9781400834914</v>
      </c>
      <c r="E2421" s="2">
        <v>537682</v>
      </c>
    </row>
    <row r="2422" spans="1:5" x14ac:dyDescent="0.25">
      <c r="A2422" s="4">
        <v>41994.899085648147</v>
      </c>
      <c r="B2422" s="2" t="s">
        <v>1303</v>
      </c>
      <c r="C2422" s="2" t="s">
        <v>63</v>
      </c>
      <c r="D2422" s="2" t="str">
        <f>"9781400840427"</f>
        <v>9781400840427</v>
      </c>
      <c r="E2422" s="2">
        <v>689360</v>
      </c>
    </row>
    <row r="2423" spans="1:5" x14ac:dyDescent="0.25">
      <c r="A2423" s="4">
        <v>41994.878738425927</v>
      </c>
      <c r="B2423" s="2" t="s">
        <v>2219</v>
      </c>
      <c r="C2423" s="2" t="s">
        <v>2170</v>
      </c>
      <c r="D2423" s="2" t="str">
        <f>"9781848131095"</f>
        <v>9781848131095</v>
      </c>
      <c r="E2423" s="2">
        <v>339202</v>
      </c>
    </row>
    <row r="2424" spans="1:5" x14ac:dyDescent="0.25">
      <c r="A2424" s="4">
        <v>41842.310254629629</v>
      </c>
      <c r="B2424" s="2" t="s">
        <v>3973</v>
      </c>
      <c r="C2424" s="2" t="s">
        <v>119</v>
      </c>
      <c r="D2424" s="2" t="str">
        <f>"9780520956797"</f>
        <v>9780520956797</v>
      </c>
      <c r="E2424" s="2">
        <v>1294909</v>
      </c>
    </row>
    <row r="2425" spans="1:5" x14ac:dyDescent="0.25">
      <c r="A2425" s="4">
        <v>41917.656157407408</v>
      </c>
      <c r="B2425" s="2" t="s">
        <v>3457</v>
      </c>
      <c r="C2425" s="2" t="s">
        <v>7</v>
      </c>
      <c r="D2425" s="2" t="str">
        <f>"9781412993630"</f>
        <v>9781412993630</v>
      </c>
      <c r="E2425" s="2">
        <v>996618</v>
      </c>
    </row>
    <row r="2426" spans="1:5" x14ac:dyDescent="0.25">
      <c r="A2426" s="4">
        <v>41906.895624999997</v>
      </c>
      <c r="B2426" s="2" t="s">
        <v>3698</v>
      </c>
      <c r="C2426" s="2" t="s">
        <v>63</v>
      </c>
      <c r="D2426" s="2" t="str">
        <f>"9781400824748"</f>
        <v>9781400824748</v>
      </c>
      <c r="E2426" s="2">
        <v>445526</v>
      </c>
    </row>
    <row r="2427" spans="1:5" x14ac:dyDescent="0.25">
      <c r="A2427" s="4">
        <v>41979.618854166663</v>
      </c>
      <c r="B2427" s="2" t="s">
        <v>2538</v>
      </c>
      <c r="C2427" s="2" t="s">
        <v>63</v>
      </c>
      <c r="D2427" s="2" t="str">
        <f>"9781400841295"</f>
        <v>9781400841295</v>
      </c>
      <c r="E2427" s="2">
        <v>784526</v>
      </c>
    </row>
    <row r="2428" spans="1:5" x14ac:dyDescent="0.25">
      <c r="A2428" s="4">
        <v>41994.899131944447</v>
      </c>
      <c r="B2428" s="2" t="s">
        <v>1127</v>
      </c>
      <c r="C2428" s="2" t="s">
        <v>63</v>
      </c>
      <c r="D2428" s="2" t="str">
        <f>"9781400848881"</f>
        <v>9781400848881</v>
      </c>
      <c r="E2428" s="2">
        <v>1458116</v>
      </c>
    </row>
    <row r="2429" spans="1:5" x14ac:dyDescent="0.25">
      <c r="A2429" s="4">
        <v>41994.892905092594</v>
      </c>
      <c r="B2429" s="2" t="s">
        <v>1761</v>
      </c>
      <c r="C2429" s="2" t="s">
        <v>16</v>
      </c>
      <c r="D2429" s="2" t="str">
        <f>"9781606233115"</f>
        <v>9781606233115</v>
      </c>
      <c r="E2429" s="2">
        <v>460408</v>
      </c>
    </row>
    <row r="2430" spans="1:5" x14ac:dyDescent="0.25">
      <c r="A2430" s="4">
        <v>43244.46802083333</v>
      </c>
      <c r="B2430" s="2" t="s">
        <v>14</v>
      </c>
      <c r="C2430" s="2" t="s">
        <v>5</v>
      </c>
      <c r="D2430" s="2" t="str">
        <f>"9780857013217"</f>
        <v>9780857013217</v>
      </c>
      <c r="E2430" s="2">
        <v>4878499</v>
      </c>
    </row>
    <row r="2431" spans="1:5" x14ac:dyDescent="0.25">
      <c r="A2431" s="4">
        <v>41914.878668981481</v>
      </c>
      <c r="B2431" s="2" t="s">
        <v>3505</v>
      </c>
      <c r="C2431" s="2" t="s">
        <v>63</v>
      </c>
      <c r="D2431" s="2" t="str">
        <f>"9781400851003"</f>
        <v>9781400851003</v>
      </c>
      <c r="E2431" s="2">
        <v>1573469</v>
      </c>
    </row>
    <row r="2432" spans="1:5" x14ac:dyDescent="0.25">
      <c r="A2432" s="4">
        <v>41808.850069444445</v>
      </c>
      <c r="B2432" s="2" t="s">
        <v>3999</v>
      </c>
      <c r="C2432" s="2" t="s">
        <v>205</v>
      </c>
      <c r="D2432" s="2" t="str">
        <f>"9780470523902"</f>
        <v>9780470523902</v>
      </c>
      <c r="E2432" s="2">
        <v>468764</v>
      </c>
    </row>
    <row r="2433" spans="1:5" x14ac:dyDescent="0.25">
      <c r="A2433" s="4">
        <v>41994.885057870371</v>
      </c>
      <c r="B2433" s="2" t="s">
        <v>1947</v>
      </c>
      <c r="C2433" s="2" t="s">
        <v>18</v>
      </c>
      <c r="D2433" s="2" t="str">
        <f>"9781623561147"</f>
        <v>9781623561147</v>
      </c>
      <c r="E2433" s="2">
        <v>1692250</v>
      </c>
    </row>
    <row r="2434" spans="1:5" x14ac:dyDescent="0.25">
      <c r="A2434" s="4">
        <v>41994.908217592594</v>
      </c>
      <c r="B2434" s="2" t="s">
        <v>234</v>
      </c>
      <c r="C2434" s="2" t="s">
        <v>26</v>
      </c>
      <c r="D2434" s="2" t="str">
        <f>"9780470880432"</f>
        <v>9780470880432</v>
      </c>
      <c r="E2434" s="2">
        <v>698719</v>
      </c>
    </row>
    <row r="2435" spans="1:5" x14ac:dyDescent="0.25">
      <c r="A2435" s="4">
        <v>41994.908182870371</v>
      </c>
      <c r="B2435" s="2" t="s">
        <v>340</v>
      </c>
      <c r="C2435" s="2" t="s">
        <v>26</v>
      </c>
      <c r="D2435" s="2" t="str">
        <f>"9780470994610"</f>
        <v>9780470994610</v>
      </c>
      <c r="E2435" s="2">
        <v>470054</v>
      </c>
    </row>
    <row r="2436" spans="1:5" x14ac:dyDescent="0.25">
      <c r="A2436" s="4">
        <v>41928.513321759259</v>
      </c>
      <c r="B2436" s="2" t="s">
        <v>3193</v>
      </c>
      <c r="C2436" s="2" t="s">
        <v>26</v>
      </c>
      <c r="D2436" s="2" t="str">
        <f>"9781118170397"</f>
        <v>9781118170397</v>
      </c>
      <c r="E2436" s="2">
        <v>818965</v>
      </c>
    </row>
    <row r="2437" spans="1:5" x14ac:dyDescent="0.25">
      <c r="A2437" s="4">
        <v>41994.896168981482</v>
      </c>
      <c r="B2437" s="2" t="s">
        <v>1468</v>
      </c>
      <c r="C2437" s="2" t="s">
        <v>28</v>
      </c>
      <c r="D2437" s="2" t="str">
        <f>"9780253008701"</f>
        <v>9780253008701</v>
      </c>
      <c r="E2437" s="2">
        <v>1387214</v>
      </c>
    </row>
    <row r="2438" spans="1:5" x14ac:dyDescent="0.25">
      <c r="A2438" s="4">
        <v>41918.975798611114</v>
      </c>
      <c r="B2438" s="2" t="s">
        <v>3409</v>
      </c>
      <c r="C2438" s="2" t="s">
        <v>16</v>
      </c>
      <c r="D2438" s="2" t="str">
        <f>"9781462503087"</f>
        <v>9781462503087</v>
      </c>
      <c r="E2438" s="2">
        <v>849053</v>
      </c>
    </row>
    <row r="2439" spans="1:5" x14ac:dyDescent="0.25">
      <c r="A2439" s="4">
        <v>41994.89912037037</v>
      </c>
      <c r="B2439" s="2" t="s">
        <v>1179</v>
      </c>
      <c r="C2439" s="2" t="s">
        <v>63</v>
      </c>
      <c r="D2439" s="2" t="str">
        <f>"9781400846412"</f>
        <v>9781400846412</v>
      </c>
      <c r="E2439" s="2">
        <v>1122595</v>
      </c>
    </row>
    <row r="2440" spans="1:5" x14ac:dyDescent="0.25">
      <c r="A2440" s="4">
        <v>41994.901956018519</v>
      </c>
      <c r="B2440" s="2" t="s">
        <v>855</v>
      </c>
      <c r="C2440" s="2" t="s">
        <v>119</v>
      </c>
      <c r="D2440" s="2" t="str">
        <f>"9780520950214"</f>
        <v>9780520950214</v>
      </c>
      <c r="E2440" s="2">
        <v>730037</v>
      </c>
    </row>
    <row r="2441" spans="1:5" x14ac:dyDescent="0.25">
      <c r="A2441" s="4">
        <v>41994.90824074074</v>
      </c>
      <c r="B2441" s="2" t="s">
        <v>189</v>
      </c>
      <c r="C2441" s="2" t="s">
        <v>160</v>
      </c>
      <c r="D2441" s="2" t="str">
        <f>"9781118090398"</f>
        <v>9781118090398</v>
      </c>
      <c r="E2441" s="2">
        <v>818746</v>
      </c>
    </row>
    <row r="2442" spans="1:5" x14ac:dyDescent="0.25">
      <c r="A2442" s="4">
        <v>41994.892905092594</v>
      </c>
      <c r="B2442" s="2" t="s">
        <v>1737</v>
      </c>
      <c r="C2442" s="2" t="s">
        <v>16</v>
      </c>
      <c r="D2442" s="2" t="str">
        <f>"9781606239162"</f>
        <v>9781606239162</v>
      </c>
      <c r="E2442" s="2">
        <v>570367</v>
      </c>
    </row>
    <row r="2443" spans="1:5" x14ac:dyDescent="0.25">
      <c r="A2443" s="4">
        <v>41994.901944444442</v>
      </c>
      <c r="B2443" s="2" t="s">
        <v>912</v>
      </c>
      <c r="C2443" s="2" t="s">
        <v>119</v>
      </c>
      <c r="D2443" s="2" t="str">
        <f>"9780520947689"</f>
        <v>9780520947689</v>
      </c>
      <c r="E2443" s="2">
        <v>572070</v>
      </c>
    </row>
    <row r="2444" spans="1:5" x14ac:dyDescent="0.25">
      <c r="A2444" s="4">
        <v>41932.485636574071</v>
      </c>
      <c r="B2444" s="2" t="s">
        <v>3121</v>
      </c>
      <c r="C2444" s="2" t="s">
        <v>26</v>
      </c>
      <c r="D2444" s="2" t="str">
        <f>"9780470667316"</f>
        <v>9780470667316</v>
      </c>
      <c r="E2444" s="2">
        <v>514450</v>
      </c>
    </row>
    <row r="2445" spans="1:5" x14ac:dyDescent="0.25">
      <c r="A2445" s="4">
        <v>41994.905601851853</v>
      </c>
      <c r="B2445" s="2" t="s">
        <v>536</v>
      </c>
      <c r="C2445" s="2" t="s">
        <v>96</v>
      </c>
      <c r="D2445" s="2" t="str">
        <f>"9780807882740"</f>
        <v>9780807882740</v>
      </c>
      <c r="E2445" s="2">
        <v>867057</v>
      </c>
    </row>
    <row r="2446" spans="1:5" x14ac:dyDescent="0.25">
      <c r="A2446" s="4">
        <v>41994.892905092594</v>
      </c>
      <c r="B2446" s="2" t="s">
        <v>1746</v>
      </c>
      <c r="C2446" s="2" t="s">
        <v>16</v>
      </c>
      <c r="D2446" s="2" t="str">
        <f>"9781606235492"</f>
        <v>9781606235492</v>
      </c>
      <c r="E2446" s="2">
        <v>494692</v>
      </c>
    </row>
    <row r="2447" spans="1:5" x14ac:dyDescent="0.25">
      <c r="A2447" s="4">
        <v>41893.842812499999</v>
      </c>
      <c r="B2447" s="2" t="s">
        <v>3879</v>
      </c>
      <c r="C2447" s="2" t="s">
        <v>26</v>
      </c>
      <c r="D2447" s="2" t="str">
        <f>"9780470588086"</f>
        <v>9780470588086</v>
      </c>
      <c r="E2447" s="2">
        <v>479861</v>
      </c>
    </row>
    <row r="2448" spans="1:5" x14ac:dyDescent="0.25">
      <c r="A2448" s="4">
        <v>41994.889930555553</v>
      </c>
      <c r="B2448" s="2" t="s">
        <v>1811</v>
      </c>
      <c r="C2448" s="2" t="s">
        <v>72</v>
      </c>
      <c r="D2448" s="2" t="str">
        <f>"9780748677696"</f>
        <v>9780748677696</v>
      </c>
      <c r="E2448" s="2">
        <v>1698581</v>
      </c>
    </row>
    <row r="2449" spans="1:5" x14ac:dyDescent="0.25">
      <c r="A2449" s="4">
        <v>41925.779733796298</v>
      </c>
      <c r="B2449" s="2" t="s">
        <v>3267</v>
      </c>
      <c r="C2449" s="2" t="s">
        <v>26</v>
      </c>
      <c r="D2449" s="2" t="str">
        <f>"9780787994587"</f>
        <v>9780787994587</v>
      </c>
      <c r="E2449" s="2">
        <v>275871</v>
      </c>
    </row>
    <row r="2450" spans="1:5" x14ac:dyDescent="0.25">
      <c r="A2450" s="4">
        <v>41911.606087962966</v>
      </c>
      <c r="B2450" s="2" t="s">
        <v>3595</v>
      </c>
      <c r="C2450" s="2" t="s">
        <v>63</v>
      </c>
      <c r="D2450" s="2" t="str">
        <f>"9781400836222"</f>
        <v>9781400836222</v>
      </c>
      <c r="E2450" s="2">
        <v>664550</v>
      </c>
    </row>
    <row r="2451" spans="1:5" x14ac:dyDescent="0.25">
      <c r="A2451" s="4">
        <v>41980.643437500003</v>
      </c>
      <c r="B2451" s="2" t="s">
        <v>2508</v>
      </c>
      <c r="C2451" s="2" t="s">
        <v>63</v>
      </c>
      <c r="D2451" s="2" t="str">
        <f>"9781400841301"</f>
        <v>9781400841301</v>
      </c>
      <c r="E2451" s="2">
        <v>784525</v>
      </c>
    </row>
    <row r="2452" spans="1:5" x14ac:dyDescent="0.25">
      <c r="A2452" s="4">
        <v>41994.908229166664</v>
      </c>
      <c r="B2452" s="2" t="s">
        <v>204</v>
      </c>
      <c r="C2452" s="2" t="s">
        <v>205</v>
      </c>
      <c r="D2452" s="2" t="str">
        <f>"9781118099063"</f>
        <v>9781118099063</v>
      </c>
      <c r="E2452" s="2">
        <v>817301</v>
      </c>
    </row>
    <row r="2453" spans="1:5" x14ac:dyDescent="0.25">
      <c r="A2453" s="4">
        <v>41994.902025462965</v>
      </c>
      <c r="B2453" s="2" t="s">
        <v>648</v>
      </c>
      <c r="C2453" s="2" t="s">
        <v>119</v>
      </c>
      <c r="D2453" s="2" t="str">
        <f>"9780520958227"</f>
        <v>9780520958227</v>
      </c>
      <c r="E2453" s="2">
        <v>1711003</v>
      </c>
    </row>
    <row r="2454" spans="1:5" x14ac:dyDescent="0.25">
      <c r="A2454" s="4">
        <v>41994.899155092593</v>
      </c>
      <c r="B2454" s="2" t="s">
        <v>1049</v>
      </c>
      <c r="C2454" s="2" t="s">
        <v>63</v>
      </c>
      <c r="D2454" s="2" t="str">
        <f>"9781400865147"</f>
        <v>9781400865147</v>
      </c>
      <c r="E2454" s="2">
        <v>1753403</v>
      </c>
    </row>
    <row r="2455" spans="1:5" x14ac:dyDescent="0.25">
      <c r="A2455" s="4">
        <v>41994.908148148148</v>
      </c>
      <c r="B2455" s="2" t="s">
        <v>413</v>
      </c>
      <c r="C2455" s="2" t="s">
        <v>26</v>
      </c>
      <c r="D2455" s="2" t="str">
        <f>"9780471486152"</f>
        <v>9780471486152</v>
      </c>
      <c r="E2455" s="2">
        <v>163305</v>
      </c>
    </row>
    <row r="2456" spans="1:5" x14ac:dyDescent="0.25">
      <c r="A2456" s="4">
        <v>41978.845949074072</v>
      </c>
      <c r="B2456" s="2" t="s">
        <v>2552</v>
      </c>
      <c r="C2456" s="2" t="s">
        <v>26</v>
      </c>
      <c r="D2456" s="2" t="str">
        <f>"9781118174876"</f>
        <v>9781118174876</v>
      </c>
      <c r="E2456" s="2">
        <v>819005</v>
      </c>
    </row>
    <row r="2457" spans="1:5" x14ac:dyDescent="0.25">
      <c r="A2457" s="4">
        <v>41907.51321759259</v>
      </c>
      <c r="B2457" s="2" t="s">
        <v>3680</v>
      </c>
      <c r="C2457" s="2" t="s">
        <v>26</v>
      </c>
      <c r="D2457" s="2" t="str">
        <f>"9781118219720"</f>
        <v>9781118219720</v>
      </c>
      <c r="E2457" s="2">
        <v>817930</v>
      </c>
    </row>
    <row r="2458" spans="1:5" x14ac:dyDescent="0.25">
      <c r="A2458" s="4">
        <v>41933.515127314815</v>
      </c>
      <c r="B2458" s="2" t="s">
        <v>3093</v>
      </c>
      <c r="C2458" s="2" t="s">
        <v>26</v>
      </c>
      <c r="D2458" s="2" t="str">
        <f>"9780470268049"</f>
        <v>9780470268049</v>
      </c>
      <c r="E2458" s="2">
        <v>333801</v>
      </c>
    </row>
    <row r="2459" spans="1:5" x14ac:dyDescent="0.25">
      <c r="A2459" s="4">
        <v>41994.896087962959</v>
      </c>
      <c r="B2459" s="2" t="s">
        <v>1606</v>
      </c>
      <c r="C2459" s="2" t="s">
        <v>28</v>
      </c>
      <c r="D2459" s="2" t="str">
        <f>"9780253112101"</f>
        <v>9780253112101</v>
      </c>
      <c r="E2459" s="2">
        <v>288357</v>
      </c>
    </row>
    <row r="2460" spans="1:5" x14ac:dyDescent="0.25">
      <c r="A2460" s="4">
        <v>41994.892928240741</v>
      </c>
      <c r="B2460" s="2" t="s">
        <v>1692</v>
      </c>
      <c r="C2460" s="2" t="s">
        <v>16</v>
      </c>
      <c r="D2460" s="2" t="str">
        <f>"9781462503254"</f>
        <v>9781462503254</v>
      </c>
      <c r="E2460" s="2">
        <v>869331</v>
      </c>
    </row>
    <row r="2461" spans="1:5" x14ac:dyDescent="0.25">
      <c r="A2461" s="4">
        <v>41929.042673611111</v>
      </c>
      <c r="B2461" s="2" t="s">
        <v>3185</v>
      </c>
      <c r="C2461" s="2" t="s">
        <v>160</v>
      </c>
      <c r="D2461" s="2" t="str">
        <f>"9780470169728"</f>
        <v>9780470169728</v>
      </c>
      <c r="E2461" s="2">
        <v>335700</v>
      </c>
    </row>
    <row r="2462" spans="1:5" x14ac:dyDescent="0.25">
      <c r="A2462" s="4">
        <v>41994.908217592594</v>
      </c>
      <c r="B2462" s="2" t="s">
        <v>269</v>
      </c>
      <c r="C2462" s="2" t="s">
        <v>26</v>
      </c>
      <c r="D2462" s="2" t="str">
        <f>"9781118121504"</f>
        <v>9781118121504</v>
      </c>
      <c r="E2462" s="2">
        <v>693507</v>
      </c>
    </row>
    <row r="2463" spans="1:5" x14ac:dyDescent="0.25">
      <c r="A2463" s="4">
        <v>41908.567743055559</v>
      </c>
      <c r="B2463" s="2" t="s">
        <v>3649</v>
      </c>
      <c r="C2463" s="2" t="s">
        <v>26</v>
      </c>
      <c r="D2463" s="2" t="str">
        <f>"9780470502181"</f>
        <v>9780470502181</v>
      </c>
      <c r="E2463" s="2">
        <v>427764</v>
      </c>
    </row>
    <row r="2464" spans="1:5" x14ac:dyDescent="0.25">
      <c r="A2464" s="4">
        <v>41910.701840277776</v>
      </c>
      <c r="B2464" s="2" t="s">
        <v>3616</v>
      </c>
      <c r="C2464" s="2" t="s">
        <v>26</v>
      </c>
      <c r="D2464" s="2" t="str">
        <f>"9781118094457"</f>
        <v>9781118094457</v>
      </c>
      <c r="E2464" s="2">
        <v>706925</v>
      </c>
    </row>
    <row r="2465" spans="1:5" x14ac:dyDescent="0.25">
      <c r="A2465" s="4">
        <v>42092.601006944446</v>
      </c>
      <c r="B2465" s="2" t="s">
        <v>2247</v>
      </c>
      <c r="C2465" s="2" t="s">
        <v>119</v>
      </c>
      <c r="D2465" s="2" t="str">
        <f>"9780520950689"</f>
        <v>9780520950689</v>
      </c>
      <c r="E2465" s="2">
        <v>763986</v>
      </c>
    </row>
    <row r="2466" spans="1:5" x14ac:dyDescent="0.25">
      <c r="A2466" s="4">
        <v>41934.41265046296</v>
      </c>
      <c r="B2466" s="2" t="s">
        <v>2247</v>
      </c>
      <c r="C2466" s="2" t="s">
        <v>119</v>
      </c>
      <c r="D2466" s="2" t="str">
        <f>"9780520930933"</f>
        <v>9780520930933</v>
      </c>
      <c r="E2466" s="2">
        <v>227318</v>
      </c>
    </row>
    <row r="2467" spans="1:5" x14ac:dyDescent="0.25">
      <c r="A2467" s="4">
        <v>41822.606817129628</v>
      </c>
      <c r="B2467" s="2" t="s">
        <v>2247</v>
      </c>
      <c r="C2467" s="2" t="s">
        <v>119</v>
      </c>
      <c r="D2467" s="2" t="str">
        <f>"9780520950689"</f>
        <v>9780520950689</v>
      </c>
      <c r="E2467" s="2">
        <v>763986</v>
      </c>
    </row>
    <row r="2468" spans="1:5" x14ac:dyDescent="0.25">
      <c r="A2468" s="4">
        <v>41975.584548611114</v>
      </c>
      <c r="B2468" s="2" t="s">
        <v>2824</v>
      </c>
      <c r="C2468" s="2" t="s">
        <v>7</v>
      </c>
      <c r="D2468" s="2" t="str">
        <f>"9781452221908"</f>
        <v>9781452221908</v>
      </c>
      <c r="E2468" s="2">
        <v>996997</v>
      </c>
    </row>
    <row r="2469" spans="1:5" x14ac:dyDescent="0.25">
      <c r="A2469" s="4">
        <v>41994.892905092594</v>
      </c>
      <c r="B2469" s="2" t="s">
        <v>1745</v>
      </c>
      <c r="C2469" s="2" t="s">
        <v>16</v>
      </c>
      <c r="D2469" s="2" t="str">
        <f>"9781606236888"</f>
        <v>9781606236888</v>
      </c>
      <c r="E2469" s="2">
        <v>515887</v>
      </c>
    </row>
    <row r="2470" spans="1:5" x14ac:dyDescent="0.25">
      <c r="A2470" s="4">
        <v>41994.901909722219</v>
      </c>
      <c r="B2470" s="2" t="s">
        <v>993</v>
      </c>
      <c r="C2470" s="2" t="s">
        <v>119</v>
      </c>
      <c r="D2470" s="2" t="str">
        <f>"9780520925915"</f>
        <v>9780520925915</v>
      </c>
      <c r="E2470" s="2">
        <v>224576</v>
      </c>
    </row>
    <row r="2471" spans="1:5" x14ac:dyDescent="0.25">
      <c r="A2471" s="4">
        <v>41994.892939814818</v>
      </c>
      <c r="B2471" s="2" t="s">
        <v>1644</v>
      </c>
      <c r="C2471" s="2" t="s">
        <v>16</v>
      </c>
      <c r="D2471" s="2" t="str">
        <f>"9781462511600"</f>
        <v>9781462511600</v>
      </c>
      <c r="E2471" s="2">
        <v>1477269</v>
      </c>
    </row>
    <row r="2472" spans="1:5" x14ac:dyDescent="0.25">
      <c r="A2472" s="4">
        <v>43230.469687500001</v>
      </c>
      <c r="B2472" s="2" t="s">
        <v>27</v>
      </c>
      <c r="C2472" s="2" t="s">
        <v>28</v>
      </c>
      <c r="D2472" s="2" t="str">
        <f>"9780253031327"</f>
        <v>9780253031327</v>
      </c>
      <c r="E2472" s="2">
        <v>5109040</v>
      </c>
    </row>
    <row r="2473" spans="1:5" x14ac:dyDescent="0.25">
      <c r="A2473" s="4">
        <v>41994.892939814818</v>
      </c>
      <c r="B2473" s="2" t="s">
        <v>1642</v>
      </c>
      <c r="C2473" s="2" t="s">
        <v>16</v>
      </c>
      <c r="D2473" s="2" t="str">
        <f>"9781462511754"</f>
        <v>9781462511754</v>
      </c>
      <c r="E2473" s="2">
        <v>1524033</v>
      </c>
    </row>
    <row r="2474" spans="1:5" x14ac:dyDescent="0.25">
      <c r="A2474" s="4">
        <v>41994.901898148149</v>
      </c>
      <c r="B2474" s="2" t="s">
        <v>1039</v>
      </c>
      <c r="C2474" s="2" t="s">
        <v>119</v>
      </c>
      <c r="D2474" s="2" t="str">
        <f>"9780520927896"</f>
        <v>9780520927896</v>
      </c>
      <c r="E2474" s="2">
        <v>223027</v>
      </c>
    </row>
    <row r="2475" spans="1:5" x14ac:dyDescent="0.25">
      <c r="A2475" s="4">
        <v>41925.518657407411</v>
      </c>
      <c r="B2475" s="2" t="s">
        <v>3277</v>
      </c>
      <c r="C2475" s="2" t="s">
        <v>2283</v>
      </c>
      <c r="D2475" s="2" t="str">
        <f>"9789027271181"</f>
        <v>9789027271181</v>
      </c>
      <c r="E2475" s="2">
        <v>1550491</v>
      </c>
    </row>
    <row r="2476" spans="1:5" x14ac:dyDescent="0.25">
      <c r="A2476" s="4">
        <v>41994.905624999999</v>
      </c>
      <c r="B2476" s="2" t="s">
        <v>449</v>
      </c>
      <c r="C2476" s="2" t="s">
        <v>96</v>
      </c>
      <c r="D2476" s="2" t="str">
        <f>"9781469612706"</f>
        <v>9781469612706</v>
      </c>
      <c r="E2476" s="2">
        <v>1663515</v>
      </c>
    </row>
    <row r="2477" spans="1:5" x14ac:dyDescent="0.25">
      <c r="A2477" s="4">
        <v>41994.892893518518</v>
      </c>
      <c r="B2477" s="2" t="s">
        <v>1789</v>
      </c>
      <c r="C2477" s="2" t="s">
        <v>16</v>
      </c>
      <c r="D2477" s="2" t="str">
        <f>"9781593855284"</f>
        <v>9781593855284</v>
      </c>
      <c r="E2477" s="2">
        <v>306780</v>
      </c>
    </row>
    <row r="2478" spans="1:5" x14ac:dyDescent="0.25">
      <c r="A2478" s="4">
        <v>41994.878761574073</v>
      </c>
      <c r="B2478" s="2" t="s">
        <v>2183</v>
      </c>
      <c r="C2478" s="2" t="s">
        <v>2170</v>
      </c>
      <c r="D2478" s="2" t="str">
        <f>"9781780323572"</f>
        <v>9781780323572</v>
      </c>
      <c r="E2478" s="2">
        <v>1426834</v>
      </c>
    </row>
    <row r="2479" spans="1:5" x14ac:dyDescent="0.25">
      <c r="A2479" s="4">
        <v>41896.581446759257</v>
      </c>
      <c r="B2479" s="2" t="s">
        <v>3875</v>
      </c>
      <c r="C2479" s="2" t="s">
        <v>63</v>
      </c>
      <c r="D2479" s="2" t="str">
        <f>"9781400828654"</f>
        <v>9781400828654</v>
      </c>
      <c r="E2479" s="2">
        <v>581797</v>
      </c>
    </row>
    <row r="2480" spans="1:5" x14ac:dyDescent="0.25">
      <c r="A2480" s="4">
        <v>42942.58902777778</v>
      </c>
      <c r="B2480" s="2" t="s">
        <v>125</v>
      </c>
      <c r="C2480" s="2" t="s">
        <v>74</v>
      </c>
      <c r="D2480" s="2" t="str">
        <f>"9780567099785"</f>
        <v>9780567099785</v>
      </c>
      <c r="E2480" s="2">
        <v>601520</v>
      </c>
    </row>
    <row r="2481" spans="1:5" x14ac:dyDescent="0.25">
      <c r="A2481" s="4">
        <v>41980.841574074075</v>
      </c>
      <c r="B2481" s="2" t="s">
        <v>2498</v>
      </c>
      <c r="C2481" s="2" t="s">
        <v>63</v>
      </c>
      <c r="D2481" s="2" t="str">
        <f>"9781400850907"</f>
        <v>9781400850907</v>
      </c>
      <c r="E2481" s="2">
        <v>1573479</v>
      </c>
    </row>
    <row r="2482" spans="1:5" x14ac:dyDescent="0.25">
      <c r="A2482" s="4">
        <v>41913.950706018521</v>
      </c>
      <c r="B2482" s="2" t="s">
        <v>3527</v>
      </c>
      <c r="C2482" s="2" t="s">
        <v>1934</v>
      </c>
      <c r="D2482" s="2" t="str">
        <f>"9781441151704"</f>
        <v>9781441151704</v>
      </c>
      <c r="E2482" s="2">
        <v>1126557</v>
      </c>
    </row>
    <row r="2483" spans="1:5" x14ac:dyDescent="0.25">
      <c r="A2483" s="4">
        <v>41911.692708333336</v>
      </c>
      <c r="B2483" s="2" t="s">
        <v>3591</v>
      </c>
      <c r="C2483" s="2" t="s">
        <v>36</v>
      </c>
      <c r="D2483" s="2" t="str">
        <f>"9781476613666"</f>
        <v>9781476613666</v>
      </c>
      <c r="E2483" s="2">
        <v>1570443</v>
      </c>
    </row>
    <row r="2484" spans="1:5" x14ac:dyDescent="0.25">
      <c r="A2484" s="4">
        <v>41925.615925925929</v>
      </c>
      <c r="B2484" s="2" t="s">
        <v>3273</v>
      </c>
      <c r="C2484" s="2" t="s">
        <v>63</v>
      </c>
      <c r="D2484" s="2" t="str">
        <f>"9781400850921"</f>
        <v>9781400850921</v>
      </c>
      <c r="E2484" s="2">
        <v>1573477</v>
      </c>
    </row>
    <row r="2485" spans="1:5" x14ac:dyDescent="0.25">
      <c r="A2485" s="4">
        <v>41906.041446759256</v>
      </c>
      <c r="B2485" s="2" t="s">
        <v>3720</v>
      </c>
      <c r="C2485" s="2" t="s">
        <v>63</v>
      </c>
      <c r="D2485" s="2" t="str">
        <f>"9781400850860"</f>
        <v>9781400850860</v>
      </c>
      <c r="E2485" s="2">
        <v>1573483</v>
      </c>
    </row>
    <row r="2486" spans="1:5" x14ac:dyDescent="0.25">
      <c r="A2486" s="4">
        <v>41976.475393518522</v>
      </c>
      <c r="B2486" s="2" t="s">
        <v>2702</v>
      </c>
      <c r="C2486" s="2" t="s">
        <v>2283</v>
      </c>
      <c r="D2486" s="2" t="str">
        <f>"9789027280879"</f>
        <v>9789027280879</v>
      </c>
      <c r="E2486" s="2">
        <v>797275</v>
      </c>
    </row>
    <row r="2487" spans="1:5" x14ac:dyDescent="0.25">
      <c r="A2487" s="4">
        <v>41923.951377314814</v>
      </c>
      <c r="B2487" s="2" t="s">
        <v>23</v>
      </c>
      <c r="C2487" s="2" t="s">
        <v>160</v>
      </c>
      <c r="D2487" s="2" t="str">
        <f>"9780471774631"</f>
        <v>9780471774631</v>
      </c>
      <c r="E2487" s="2">
        <v>238803</v>
      </c>
    </row>
    <row r="2488" spans="1:5" x14ac:dyDescent="0.25">
      <c r="A2488" s="4">
        <v>41994.899143518516</v>
      </c>
      <c r="B2488" s="2" t="s">
        <v>1100</v>
      </c>
      <c r="C2488" s="2" t="s">
        <v>63</v>
      </c>
      <c r="D2488" s="2" t="str">
        <f>"9781400850877"</f>
        <v>9781400850877</v>
      </c>
      <c r="E2488" s="2">
        <v>1573482</v>
      </c>
    </row>
    <row r="2489" spans="1:5" x14ac:dyDescent="0.25">
      <c r="A2489" s="4">
        <v>41994.899143518516</v>
      </c>
      <c r="B2489" s="2" t="s">
        <v>1106</v>
      </c>
      <c r="C2489" s="2" t="s">
        <v>63</v>
      </c>
      <c r="D2489" s="2" t="str">
        <f>"9781400850983"</f>
        <v>9781400850983</v>
      </c>
      <c r="E2489" s="2">
        <v>1573471</v>
      </c>
    </row>
    <row r="2490" spans="1:5" x14ac:dyDescent="0.25">
      <c r="A2490" s="4">
        <v>41994.908229166664</v>
      </c>
      <c r="B2490" s="2" t="s">
        <v>207</v>
      </c>
      <c r="C2490" s="2" t="s">
        <v>26</v>
      </c>
      <c r="D2490" s="2" t="str">
        <f>"9781444396225"</f>
        <v>9781444396225</v>
      </c>
      <c r="E2490" s="2">
        <v>792630</v>
      </c>
    </row>
    <row r="2491" spans="1:5" x14ac:dyDescent="0.25">
      <c r="A2491" s="4">
        <v>41908.392395833333</v>
      </c>
      <c r="B2491" s="2" t="s">
        <v>3657</v>
      </c>
      <c r="C2491" s="2" t="s">
        <v>7</v>
      </c>
      <c r="D2491" s="2" t="str">
        <f>"9781446248102"</f>
        <v>9781446248102</v>
      </c>
      <c r="E2491" s="2">
        <v>743560</v>
      </c>
    </row>
    <row r="2492" spans="1:5" x14ac:dyDescent="0.25">
      <c r="A2492" s="4">
        <v>41984.521469907406</v>
      </c>
      <c r="B2492" s="2" t="s">
        <v>2370</v>
      </c>
      <c r="C2492" s="2" t="s">
        <v>26</v>
      </c>
      <c r="D2492" s="2" t="str">
        <f>"9781118012208"</f>
        <v>9781118012208</v>
      </c>
      <c r="E2492" s="2">
        <v>661549</v>
      </c>
    </row>
    <row r="2493" spans="1:5" x14ac:dyDescent="0.25">
      <c r="A2493" s="4">
        <v>41994.896157407406</v>
      </c>
      <c r="B2493" s="2" t="s">
        <v>1491</v>
      </c>
      <c r="C2493" s="2" t="s">
        <v>28</v>
      </c>
      <c r="D2493" s="2" t="str">
        <f>"9780253009784"</f>
        <v>9780253009784</v>
      </c>
      <c r="E2493" s="2">
        <v>1131999</v>
      </c>
    </row>
    <row r="2494" spans="1:5" x14ac:dyDescent="0.25">
      <c r="A2494" s="4">
        <v>41994.908171296294</v>
      </c>
      <c r="B2494" s="2" t="s">
        <v>360</v>
      </c>
      <c r="C2494" s="2" t="s">
        <v>26</v>
      </c>
      <c r="D2494" s="2" t="str">
        <f>"9780470397275"</f>
        <v>9780470397275</v>
      </c>
      <c r="E2494" s="2">
        <v>366724</v>
      </c>
    </row>
    <row r="2495" spans="1:5" x14ac:dyDescent="0.25">
      <c r="A2495" s="4">
        <v>41975.787905092591</v>
      </c>
      <c r="B2495" s="2" t="s">
        <v>2783</v>
      </c>
      <c r="C2495" s="2" t="s">
        <v>119</v>
      </c>
      <c r="D2495" s="2" t="str">
        <f>"9780520932678"</f>
        <v>9780520932678</v>
      </c>
      <c r="E2495" s="2">
        <v>314084</v>
      </c>
    </row>
    <row r="2496" spans="1:5" x14ac:dyDescent="0.25">
      <c r="A2496" s="4">
        <v>41976.245729166665</v>
      </c>
      <c r="B2496" s="2" t="s">
        <v>2725</v>
      </c>
      <c r="C2496" s="2" t="s">
        <v>424</v>
      </c>
      <c r="D2496" s="2" t="str">
        <f>"9780807875360"</f>
        <v>9780807875360</v>
      </c>
      <c r="E2496" s="2">
        <v>413229</v>
      </c>
    </row>
    <row r="2497" spans="1:5" x14ac:dyDescent="0.25">
      <c r="A2497" s="4">
        <v>41905.753009259257</v>
      </c>
      <c r="B2497" s="2" t="s">
        <v>3734</v>
      </c>
      <c r="C2497" s="2" t="s">
        <v>119</v>
      </c>
      <c r="D2497" s="2" t="str">
        <f>"9780520921863"</f>
        <v>9780520921863</v>
      </c>
      <c r="E2497" s="2">
        <v>223670</v>
      </c>
    </row>
    <row r="2498" spans="1:5" x14ac:dyDescent="0.25">
      <c r="A2498" s="4">
        <v>41994.899108796293</v>
      </c>
      <c r="B2498" s="2" t="s">
        <v>1224</v>
      </c>
      <c r="C2498" s="2" t="s">
        <v>63</v>
      </c>
      <c r="D2498" s="2" t="str">
        <f>"9781400842322"</f>
        <v>9781400842322</v>
      </c>
      <c r="E2498" s="2">
        <v>903412</v>
      </c>
    </row>
    <row r="2499" spans="1:5" x14ac:dyDescent="0.25">
      <c r="A2499" s="4">
        <v>41994.892916666664</v>
      </c>
      <c r="B2499" s="2" t="s">
        <v>1708</v>
      </c>
      <c r="C2499" s="2" t="s">
        <v>16</v>
      </c>
      <c r="D2499" s="2" t="str">
        <f>"9781609184865"</f>
        <v>9781609184865</v>
      </c>
      <c r="E2499" s="2">
        <v>759921</v>
      </c>
    </row>
    <row r="2500" spans="1:5" x14ac:dyDescent="0.25">
      <c r="A2500" s="4">
        <v>41978.564143518517</v>
      </c>
      <c r="B2500" s="2" t="s">
        <v>2568</v>
      </c>
      <c r="C2500" s="2" t="s">
        <v>160</v>
      </c>
      <c r="D2500" s="2" t="str">
        <f>"9780787977108"</f>
        <v>9780787977108</v>
      </c>
      <c r="E2500" s="2">
        <v>219034</v>
      </c>
    </row>
    <row r="2501" spans="1:5" x14ac:dyDescent="0.25">
      <c r="A2501" s="4">
        <v>41900.865925925929</v>
      </c>
      <c r="B2501" s="2" t="s">
        <v>3824</v>
      </c>
      <c r="C2501" s="2" t="s">
        <v>26</v>
      </c>
      <c r="D2501" s="2" t="str">
        <f>"9781118118832"</f>
        <v>9781118118832</v>
      </c>
      <c r="E2501" s="2">
        <v>817325</v>
      </c>
    </row>
    <row r="2502" spans="1:5" x14ac:dyDescent="0.25">
      <c r="A2502" s="4">
        <v>41834.585219907407</v>
      </c>
      <c r="B2502" s="2" t="s">
        <v>3983</v>
      </c>
      <c r="C2502" s="2" t="s">
        <v>16</v>
      </c>
      <c r="D2502" s="2" t="str">
        <f>"9781606235485"</f>
        <v>9781606235485</v>
      </c>
      <c r="E2502" s="2">
        <v>479606</v>
      </c>
    </row>
    <row r="2503" spans="1:5" x14ac:dyDescent="0.25">
      <c r="A2503" s="4">
        <v>41904.860567129632</v>
      </c>
      <c r="B2503" s="2" t="s">
        <v>3761</v>
      </c>
      <c r="C2503" s="2" t="s">
        <v>16</v>
      </c>
      <c r="D2503" s="2" t="str">
        <f>"9781606239797"</f>
        <v>9781606239797</v>
      </c>
      <c r="E2503" s="2">
        <v>593773</v>
      </c>
    </row>
    <row r="2504" spans="1:5" x14ac:dyDescent="0.25">
      <c r="A2504" s="4">
        <v>41994.908159722225</v>
      </c>
      <c r="B2504" s="2" t="s">
        <v>391</v>
      </c>
      <c r="C2504" s="2" t="s">
        <v>26</v>
      </c>
      <c r="D2504" s="2" t="str">
        <f>"9781405173230"</f>
        <v>9781405173230</v>
      </c>
      <c r="E2504" s="2">
        <v>284086</v>
      </c>
    </row>
    <row r="2505" spans="1:5" x14ac:dyDescent="0.25">
      <c r="A2505" s="4">
        <v>41994.90824074074</v>
      </c>
      <c r="B2505" s="2" t="s">
        <v>190</v>
      </c>
      <c r="C2505" s="2" t="s">
        <v>26</v>
      </c>
      <c r="D2505" s="2" t="str">
        <f>"9781119973256"</f>
        <v>9781119973256</v>
      </c>
      <c r="E2505" s="2">
        <v>818736</v>
      </c>
    </row>
    <row r="2506" spans="1:5" x14ac:dyDescent="0.25">
      <c r="A2506" s="4">
        <v>41994.908171296294</v>
      </c>
      <c r="B2506" s="2" t="s">
        <v>386</v>
      </c>
      <c r="C2506" s="2" t="s">
        <v>26</v>
      </c>
      <c r="D2506" s="2" t="str">
        <f>"9780787994839"</f>
        <v>9780787994839</v>
      </c>
      <c r="E2506" s="2">
        <v>290310</v>
      </c>
    </row>
    <row r="2507" spans="1:5" x14ac:dyDescent="0.25">
      <c r="A2507" s="4">
        <v>41974.61446759259</v>
      </c>
      <c r="B2507" s="2" t="s">
        <v>2945</v>
      </c>
      <c r="C2507" s="2" t="s">
        <v>18</v>
      </c>
      <c r="D2507" s="2" t="str">
        <f>"9781441162106"</f>
        <v>9781441162106</v>
      </c>
      <c r="E2507" s="2">
        <v>1134865</v>
      </c>
    </row>
    <row r="2508" spans="1:5" x14ac:dyDescent="0.25">
      <c r="A2508" s="4">
        <v>41987.750937500001</v>
      </c>
      <c r="B2508" s="2" t="s">
        <v>2311</v>
      </c>
      <c r="C2508" s="2" t="s">
        <v>26</v>
      </c>
      <c r="D2508" s="2" t="str">
        <f>"9780470091722"</f>
        <v>9780470091722</v>
      </c>
      <c r="E2508" s="2">
        <v>228622</v>
      </c>
    </row>
    <row r="2509" spans="1:5" x14ac:dyDescent="0.25">
      <c r="A2509" s="4">
        <v>41900.728101851855</v>
      </c>
      <c r="B2509" s="2" t="s">
        <v>3828</v>
      </c>
      <c r="C2509" s="2" t="s">
        <v>160</v>
      </c>
      <c r="D2509" s="2" t="str">
        <f>"9780470108550"</f>
        <v>9780470108550</v>
      </c>
      <c r="E2509" s="2">
        <v>288175</v>
      </c>
    </row>
    <row r="2510" spans="1:5" x14ac:dyDescent="0.25">
      <c r="A2510" s="4">
        <v>41900.720069444447</v>
      </c>
      <c r="B2510" s="2" t="s">
        <v>3829</v>
      </c>
      <c r="C2510" s="2" t="s">
        <v>26</v>
      </c>
      <c r="D2510" s="2" t="str">
        <f>"9780470108567"</f>
        <v>9780470108567</v>
      </c>
      <c r="E2510" s="2">
        <v>297250</v>
      </c>
    </row>
    <row r="2511" spans="1:5" x14ac:dyDescent="0.25">
      <c r="A2511" s="4">
        <v>41994.908159722225</v>
      </c>
      <c r="B2511" s="2" t="s">
        <v>400</v>
      </c>
      <c r="C2511" s="2" t="s">
        <v>26</v>
      </c>
      <c r="D2511" s="2" t="str">
        <f>"9781405141840"</f>
        <v>9781405141840</v>
      </c>
      <c r="E2511" s="2">
        <v>239909</v>
      </c>
    </row>
    <row r="2512" spans="1:5" x14ac:dyDescent="0.25">
      <c r="A2512" s="4">
        <v>41994.884988425925</v>
      </c>
      <c r="B2512" s="2" t="s">
        <v>2140</v>
      </c>
      <c r="C2512" s="2" t="s">
        <v>18</v>
      </c>
      <c r="D2512" s="2" t="str">
        <f>"9781441196712"</f>
        <v>9781441196712</v>
      </c>
      <c r="E2512" s="2">
        <v>564248</v>
      </c>
    </row>
    <row r="2513" spans="1:5" x14ac:dyDescent="0.25">
      <c r="A2513" s="4">
        <v>41925.395694444444</v>
      </c>
      <c r="B2513" s="2" t="s">
        <v>3281</v>
      </c>
      <c r="C2513" s="2" t="s">
        <v>1934</v>
      </c>
      <c r="D2513" s="2" t="str">
        <f>"9781472566973"</f>
        <v>9781472566973</v>
      </c>
      <c r="E2513" s="2">
        <v>1507632</v>
      </c>
    </row>
    <row r="2514" spans="1:5" x14ac:dyDescent="0.25">
      <c r="A2514" s="4">
        <v>41934.864849537036</v>
      </c>
      <c r="B2514" s="2" t="s">
        <v>3045</v>
      </c>
      <c r="C2514" s="2" t="s">
        <v>36</v>
      </c>
      <c r="D2514" s="2" t="str">
        <f>"9781476617633"</f>
        <v>9781476617633</v>
      </c>
      <c r="E2514" s="2">
        <v>1715944</v>
      </c>
    </row>
    <row r="2515" spans="1:5" x14ac:dyDescent="0.25">
      <c r="A2515" s="4">
        <v>41994.908217592594</v>
      </c>
      <c r="B2515" s="2" t="s">
        <v>241</v>
      </c>
      <c r="C2515" s="2" t="s">
        <v>26</v>
      </c>
      <c r="D2515" s="2" t="str">
        <f>"9781118036983"</f>
        <v>9781118036983</v>
      </c>
      <c r="E2515" s="2">
        <v>697942</v>
      </c>
    </row>
    <row r="2516" spans="1:5" x14ac:dyDescent="0.25">
      <c r="A2516" s="4">
        <v>41994.896134259259</v>
      </c>
      <c r="B2516" s="2" t="s">
        <v>1536</v>
      </c>
      <c r="C2516" s="2" t="s">
        <v>28</v>
      </c>
      <c r="D2516" s="2" t="str">
        <f>"9780253001535"</f>
        <v>9780253001535</v>
      </c>
      <c r="E2516" s="2">
        <v>713687</v>
      </c>
    </row>
    <row r="2517" spans="1:5" x14ac:dyDescent="0.25">
      <c r="A2517" s="4">
        <v>41981.847303240742</v>
      </c>
      <c r="B2517" s="2" t="s">
        <v>2464</v>
      </c>
      <c r="C2517" s="2" t="s">
        <v>63</v>
      </c>
      <c r="D2517" s="2" t="str">
        <f>"9781400830923"</f>
        <v>9781400830923</v>
      </c>
      <c r="E2517" s="2">
        <v>457851</v>
      </c>
    </row>
    <row r="2518" spans="1:5" x14ac:dyDescent="0.25">
      <c r="A2518" s="4">
        <v>41933.492048611108</v>
      </c>
      <c r="B2518" s="2" t="s">
        <v>3094</v>
      </c>
      <c r="C2518" s="2" t="s">
        <v>28</v>
      </c>
      <c r="D2518" s="2" t="str">
        <f>"9780253004949"</f>
        <v>9780253004949</v>
      </c>
      <c r="E2518" s="2">
        <v>624325</v>
      </c>
    </row>
    <row r="2519" spans="1:5" x14ac:dyDescent="0.25">
      <c r="A2519" s="4">
        <v>41994.896134259259</v>
      </c>
      <c r="B2519" s="2" t="s">
        <v>1527</v>
      </c>
      <c r="C2519" s="2" t="s">
        <v>28</v>
      </c>
      <c r="D2519" s="2" t="str">
        <f>"9780253006158"</f>
        <v>9780253006158</v>
      </c>
      <c r="E2519" s="2">
        <v>784502</v>
      </c>
    </row>
    <row r="2520" spans="1:5" x14ac:dyDescent="0.25">
      <c r="A2520" s="4">
        <v>41914.275208333333</v>
      </c>
      <c r="B2520" s="2" t="s">
        <v>3523</v>
      </c>
      <c r="C2520" s="2" t="s">
        <v>96</v>
      </c>
      <c r="D2520" s="2" t="str">
        <f>"9781469607931"</f>
        <v>9781469607931</v>
      </c>
      <c r="E2520" s="2">
        <v>1120530</v>
      </c>
    </row>
    <row r="2521" spans="1:5" x14ac:dyDescent="0.25">
      <c r="A2521" s="4">
        <v>41994.896087962959</v>
      </c>
      <c r="B2521" s="2" t="s">
        <v>1614</v>
      </c>
      <c r="C2521" s="2" t="s">
        <v>28</v>
      </c>
      <c r="D2521" s="2" t="str">
        <f>"9780253110671"</f>
        <v>9780253110671</v>
      </c>
      <c r="E2521" s="2">
        <v>238842</v>
      </c>
    </row>
    <row r="2522" spans="1:5" x14ac:dyDescent="0.25">
      <c r="A2522" s="4">
        <v>41994.901909722219</v>
      </c>
      <c r="B2522" s="2" t="s">
        <v>1013</v>
      </c>
      <c r="C2522" s="2" t="s">
        <v>119</v>
      </c>
      <c r="D2522" s="2" t="str">
        <f>"9780520937376"</f>
        <v>9780520937376</v>
      </c>
      <c r="E2522" s="2">
        <v>224041</v>
      </c>
    </row>
    <row r="2523" spans="1:5" x14ac:dyDescent="0.25">
      <c r="A2523" s="4">
        <v>41881.491053240738</v>
      </c>
      <c r="B2523" s="2" t="s">
        <v>3920</v>
      </c>
      <c r="C2523" s="2" t="s">
        <v>28</v>
      </c>
      <c r="D2523" s="2" t="str">
        <f>"9780253005137"</f>
        <v>9780253005137</v>
      </c>
      <c r="E2523" s="2">
        <v>670271</v>
      </c>
    </row>
    <row r="2524" spans="1:5" x14ac:dyDescent="0.25">
      <c r="A2524" s="4">
        <v>41975.917581018519</v>
      </c>
      <c r="B2524" s="2" t="s">
        <v>2755</v>
      </c>
      <c r="C2524" s="2" t="s">
        <v>63</v>
      </c>
      <c r="D2524" s="2" t="str">
        <f>"9781400837434"</f>
        <v>9781400837434</v>
      </c>
      <c r="E2524" s="2">
        <v>1651879</v>
      </c>
    </row>
    <row r="2525" spans="1:5" x14ac:dyDescent="0.25">
      <c r="A2525" s="4">
        <v>41920.70989583333</v>
      </c>
      <c r="B2525" s="2" t="s">
        <v>3359</v>
      </c>
      <c r="C2525" s="2" t="s">
        <v>119</v>
      </c>
      <c r="D2525" s="2" t="str">
        <f>"9780520938434"</f>
        <v>9780520938434</v>
      </c>
      <c r="E2525" s="2">
        <v>227320</v>
      </c>
    </row>
    <row r="2526" spans="1:5" x14ac:dyDescent="0.25">
      <c r="A2526" s="4">
        <v>41929.635648148149</v>
      </c>
      <c r="B2526" s="2" t="s">
        <v>3167</v>
      </c>
      <c r="C2526" s="2" t="s">
        <v>28</v>
      </c>
      <c r="D2526" s="2" t="str">
        <f>"9780253012593"</f>
        <v>9780253012593</v>
      </c>
      <c r="E2526" s="2">
        <v>1605200</v>
      </c>
    </row>
    <row r="2527" spans="1:5" x14ac:dyDescent="0.25">
      <c r="A2527" s="4">
        <v>41994.901990740742</v>
      </c>
      <c r="B2527" s="2" t="s">
        <v>755</v>
      </c>
      <c r="C2527" s="2" t="s">
        <v>119</v>
      </c>
      <c r="D2527" s="2" t="str">
        <f>"9780520953765"</f>
        <v>9780520953765</v>
      </c>
      <c r="E2527" s="2">
        <v>962595</v>
      </c>
    </row>
    <row r="2528" spans="1:5" x14ac:dyDescent="0.25">
      <c r="A2528" s="4">
        <v>41994.896122685182</v>
      </c>
      <c r="B2528" s="2" t="s">
        <v>1556</v>
      </c>
      <c r="C2528" s="2" t="s">
        <v>28</v>
      </c>
      <c r="D2528" s="2" t="str">
        <f>"9780253005366"</f>
        <v>9780253005366</v>
      </c>
      <c r="E2528" s="2">
        <v>670293</v>
      </c>
    </row>
    <row r="2529" spans="1:5" x14ac:dyDescent="0.25">
      <c r="A2529" s="4">
        <v>41994.896145833336</v>
      </c>
      <c r="B2529" s="2" t="s">
        <v>1504</v>
      </c>
      <c r="C2529" s="2" t="s">
        <v>28</v>
      </c>
      <c r="D2529" s="2" t="str">
        <f>"9780253007353"</f>
        <v>9780253007353</v>
      </c>
      <c r="E2529" s="2">
        <v>816884</v>
      </c>
    </row>
    <row r="2530" spans="1:5" x14ac:dyDescent="0.25">
      <c r="A2530" s="4">
        <v>41976.383229166669</v>
      </c>
      <c r="B2530" s="2" t="s">
        <v>2721</v>
      </c>
      <c r="C2530" s="2" t="s">
        <v>63</v>
      </c>
      <c r="D2530" s="2" t="str">
        <f>"9781400824311"</f>
        <v>9781400824311</v>
      </c>
      <c r="E2530" s="2">
        <v>729933</v>
      </c>
    </row>
    <row r="2531" spans="1:5" x14ac:dyDescent="0.25">
      <c r="A2531" s="4">
        <v>41994.899131944447</v>
      </c>
      <c r="B2531" s="2" t="s">
        <v>1122</v>
      </c>
      <c r="C2531" s="2" t="s">
        <v>63</v>
      </c>
      <c r="D2531" s="2" t="str">
        <f>"9781400848416"</f>
        <v>9781400848416</v>
      </c>
      <c r="E2531" s="2">
        <v>1489937</v>
      </c>
    </row>
    <row r="2532" spans="1:5" x14ac:dyDescent="0.25">
      <c r="A2532" s="4">
        <v>41929.83520833333</v>
      </c>
      <c r="B2532" s="2" t="s">
        <v>3161</v>
      </c>
      <c r="C2532" s="2" t="s">
        <v>26</v>
      </c>
      <c r="D2532" s="2" t="str">
        <f>"9780470495773"</f>
        <v>9780470495773</v>
      </c>
      <c r="E2532" s="2">
        <v>448874</v>
      </c>
    </row>
    <row r="2533" spans="1:5" x14ac:dyDescent="0.25">
      <c r="A2533" s="4">
        <v>41994.896087962959</v>
      </c>
      <c r="B2533" s="2" t="s">
        <v>1596</v>
      </c>
      <c r="C2533" s="2" t="s">
        <v>28</v>
      </c>
      <c r="D2533" s="2" t="str">
        <f>"9780253000217"</f>
        <v>9780253000217</v>
      </c>
      <c r="E2533" s="2">
        <v>348678</v>
      </c>
    </row>
    <row r="2534" spans="1:5" x14ac:dyDescent="0.25">
      <c r="A2534" s="4">
        <v>41994.901990740742</v>
      </c>
      <c r="B2534" s="2" t="s">
        <v>763</v>
      </c>
      <c r="C2534" s="2" t="s">
        <v>119</v>
      </c>
      <c r="D2534" s="2" t="str">
        <f>"9780520947252"</f>
        <v>9780520947252</v>
      </c>
      <c r="E2534" s="2">
        <v>922941</v>
      </c>
    </row>
    <row r="2535" spans="1:5" x14ac:dyDescent="0.25">
      <c r="A2535" s="4">
        <v>41980.774328703701</v>
      </c>
      <c r="B2535" s="2" t="s">
        <v>2503</v>
      </c>
      <c r="C2535" s="2" t="s">
        <v>96</v>
      </c>
      <c r="D2535" s="2" t="str">
        <f>"9781469600246"</f>
        <v>9781469600246</v>
      </c>
      <c r="E2535" s="2">
        <v>1120513</v>
      </c>
    </row>
    <row r="2536" spans="1:5" x14ac:dyDescent="0.25">
      <c r="A2536" s="4">
        <v>41994.905613425923</v>
      </c>
      <c r="B2536" s="2" t="s">
        <v>511</v>
      </c>
      <c r="C2536" s="2" t="s">
        <v>96</v>
      </c>
      <c r="D2536" s="2" t="str">
        <f>"9780807899014"</f>
        <v>9780807899014</v>
      </c>
      <c r="E2536" s="2">
        <v>880449</v>
      </c>
    </row>
    <row r="2537" spans="1:5" x14ac:dyDescent="0.25">
      <c r="A2537" s="4">
        <v>41975.770752314813</v>
      </c>
      <c r="B2537" s="2" t="s">
        <v>2786</v>
      </c>
      <c r="C2537" s="2" t="s">
        <v>119</v>
      </c>
      <c r="D2537" s="2" t="str">
        <f>"9780520930735"</f>
        <v>9780520930735</v>
      </c>
      <c r="E2537" s="2">
        <v>223310</v>
      </c>
    </row>
    <row r="2538" spans="1:5" x14ac:dyDescent="0.25">
      <c r="A2538" s="4">
        <v>41933.66138888889</v>
      </c>
      <c r="B2538" s="2" t="s">
        <v>3081</v>
      </c>
      <c r="C2538" s="2" t="s">
        <v>28</v>
      </c>
      <c r="D2538" s="2" t="str">
        <f>"9780253004918"</f>
        <v>9780253004918</v>
      </c>
      <c r="E2538" s="2">
        <v>624328</v>
      </c>
    </row>
    <row r="2539" spans="1:5" x14ac:dyDescent="0.25">
      <c r="A2539" s="4">
        <v>41994.896157407406</v>
      </c>
      <c r="B2539" s="2" t="s">
        <v>1489</v>
      </c>
      <c r="C2539" s="2" t="s">
        <v>28</v>
      </c>
      <c r="D2539" s="2" t="str">
        <f>"9780253007995"</f>
        <v>9780253007995</v>
      </c>
      <c r="E2539" s="2">
        <v>1161292</v>
      </c>
    </row>
    <row r="2540" spans="1:5" x14ac:dyDescent="0.25">
      <c r="A2540" s="4">
        <v>43202.531574074077</v>
      </c>
      <c r="B2540" s="2" t="s">
        <v>60</v>
      </c>
      <c r="C2540" s="2" t="s">
        <v>5</v>
      </c>
      <c r="D2540" s="2" t="str">
        <f>"9780857008213"</f>
        <v>9780857008213</v>
      </c>
      <c r="E2540" s="2">
        <v>1825675</v>
      </c>
    </row>
    <row r="2541" spans="1:5" x14ac:dyDescent="0.25">
      <c r="A2541" s="4">
        <v>41982.597395833334</v>
      </c>
      <c r="B2541" s="2" t="s">
        <v>2432</v>
      </c>
      <c r="C2541" s="2" t="s">
        <v>119</v>
      </c>
      <c r="D2541" s="2" t="str">
        <f>"9780520948914"</f>
        <v>9780520948914</v>
      </c>
      <c r="E2541" s="2">
        <v>718653</v>
      </c>
    </row>
    <row r="2542" spans="1:5" x14ac:dyDescent="0.25">
      <c r="A2542" s="4">
        <v>41931.586192129631</v>
      </c>
      <c r="B2542" s="2" t="s">
        <v>3141</v>
      </c>
      <c r="C2542" s="2" t="s">
        <v>160</v>
      </c>
      <c r="D2542" s="2" t="str">
        <f>"9780787985806"</f>
        <v>9780787985806</v>
      </c>
      <c r="E2542" s="2">
        <v>272219</v>
      </c>
    </row>
    <row r="2543" spans="1:5" x14ac:dyDescent="0.25">
      <c r="A2543" s="4">
        <v>42892.441770833335</v>
      </c>
      <c r="B2543" s="2" t="s">
        <v>128</v>
      </c>
      <c r="C2543" s="2" t="s">
        <v>26</v>
      </c>
      <c r="D2543" s="2" t="str">
        <f>"9781119121244"</f>
        <v>9781119121244</v>
      </c>
      <c r="E2543" s="2">
        <v>4694611</v>
      </c>
    </row>
    <row r="2544" spans="1:5" x14ac:dyDescent="0.25">
      <c r="A2544" s="4">
        <v>41994.89912037037</v>
      </c>
      <c r="B2544" s="2" t="s">
        <v>1183</v>
      </c>
      <c r="C2544" s="2" t="s">
        <v>63</v>
      </c>
      <c r="D2544" s="2" t="str">
        <f>"9781400846436"</f>
        <v>9781400846436</v>
      </c>
      <c r="E2544" s="2">
        <v>1114880</v>
      </c>
    </row>
    <row r="2545" spans="1:5" x14ac:dyDescent="0.25">
      <c r="A2545" s="4">
        <v>41978.37158564815</v>
      </c>
      <c r="B2545" s="2" t="s">
        <v>2578</v>
      </c>
      <c r="C2545" s="2" t="s">
        <v>26</v>
      </c>
      <c r="D2545" s="2" t="str">
        <f>"9780470973103"</f>
        <v>9780470973103</v>
      </c>
      <c r="E2545" s="2">
        <v>624737</v>
      </c>
    </row>
    <row r="2546" spans="1:5" x14ac:dyDescent="0.25">
      <c r="A2546" s="4">
        <v>41994.884988425925</v>
      </c>
      <c r="B2546" s="2" t="s">
        <v>2139</v>
      </c>
      <c r="C2546" s="2" t="s">
        <v>18</v>
      </c>
      <c r="D2546" s="2" t="str">
        <f>"9781441120694"</f>
        <v>9781441120694</v>
      </c>
      <c r="E2546" s="2">
        <v>564316</v>
      </c>
    </row>
    <row r="2547" spans="1:5" x14ac:dyDescent="0.25">
      <c r="A2547" s="4">
        <v>41994.885011574072</v>
      </c>
      <c r="B2547" s="2" t="s">
        <v>2079</v>
      </c>
      <c r="C2547" s="2" t="s">
        <v>18</v>
      </c>
      <c r="D2547" s="2" t="str">
        <f>"9781441144409"</f>
        <v>9781441144409</v>
      </c>
      <c r="E2547" s="2">
        <v>766046</v>
      </c>
    </row>
    <row r="2548" spans="1:5" x14ac:dyDescent="0.25">
      <c r="A2548" s="4">
        <v>41975.66978009259</v>
      </c>
      <c r="B2548" s="2" t="s">
        <v>2807</v>
      </c>
      <c r="C2548" s="2" t="s">
        <v>18</v>
      </c>
      <c r="D2548" s="2" t="str">
        <f>"9781441156815"</f>
        <v>9781441156815</v>
      </c>
      <c r="E2548" s="2">
        <v>617188</v>
      </c>
    </row>
    <row r="2549" spans="1:5" x14ac:dyDescent="0.25">
      <c r="A2549" s="4">
        <v>41994.892928240741</v>
      </c>
      <c r="B2549" s="2" t="s">
        <v>1678</v>
      </c>
      <c r="C2549" s="2" t="s">
        <v>16</v>
      </c>
      <c r="D2549" s="2" t="str">
        <f>"9781462506972"</f>
        <v>9781462506972</v>
      </c>
      <c r="E2549" s="2">
        <v>1024331</v>
      </c>
    </row>
    <row r="2550" spans="1:5" x14ac:dyDescent="0.25">
      <c r="A2550" s="4">
        <v>41908.704942129632</v>
      </c>
      <c r="B2550" s="2" t="s">
        <v>3642</v>
      </c>
      <c r="C2550" s="2" t="s">
        <v>16</v>
      </c>
      <c r="D2550" s="2" t="str">
        <f>"9781462514182"</f>
        <v>9781462514182</v>
      </c>
      <c r="E2550" s="2">
        <v>1655944</v>
      </c>
    </row>
    <row r="2551" spans="1:5" x14ac:dyDescent="0.25">
      <c r="A2551" s="4">
        <v>41994.885023148148</v>
      </c>
      <c r="B2551" s="2" t="s">
        <v>2025</v>
      </c>
      <c r="C2551" s="2" t="s">
        <v>18</v>
      </c>
      <c r="D2551" s="2" t="str">
        <f>"9781441156754"</f>
        <v>9781441156754</v>
      </c>
      <c r="E2551" s="2">
        <v>1172518</v>
      </c>
    </row>
    <row r="2552" spans="1:5" x14ac:dyDescent="0.25">
      <c r="A2552" s="4">
        <v>41994.885000000002</v>
      </c>
      <c r="B2552" s="2" t="s">
        <v>2095</v>
      </c>
      <c r="C2552" s="2" t="s">
        <v>18</v>
      </c>
      <c r="D2552" s="2" t="str">
        <f>"9781441179746"</f>
        <v>9781441179746</v>
      </c>
      <c r="E2552" s="2">
        <v>714118</v>
      </c>
    </row>
    <row r="2553" spans="1:5" x14ac:dyDescent="0.25">
      <c r="A2553" s="4">
        <v>41994.896087962959</v>
      </c>
      <c r="B2553" s="2" t="s">
        <v>1610</v>
      </c>
      <c r="C2553" s="2" t="s">
        <v>28</v>
      </c>
      <c r="D2553" s="2" t="str">
        <f>"9780253110374"</f>
        <v>9780253110374</v>
      </c>
      <c r="E2553" s="2">
        <v>257252</v>
      </c>
    </row>
    <row r="2554" spans="1:5" x14ac:dyDescent="0.25">
      <c r="A2554" s="4">
        <v>41994.892916666664</v>
      </c>
      <c r="B2554" s="2" t="s">
        <v>1728</v>
      </c>
      <c r="C2554" s="2" t="s">
        <v>16</v>
      </c>
      <c r="D2554" s="2" t="str">
        <f>"9781609180553"</f>
        <v>9781609180553</v>
      </c>
      <c r="E2554" s="2">
        <v>615853</v>
      </c>
    </row>
    <row r="2555" spans="1:5" x14ac:dyDescent="0.25">
      <c r="A2555" s="4">
        <v>41994.905578703707</v>
      </c>
      <c r="B2555" s="2" t="s">
        <v>597</v>
      </c>
      <c r="C2555" s="2" t="s">
        <v>96</v>
      </c>
      <c r="D2555" s="2" t="str">
        <f>"9780807898352"</f>
        <v>9780807898352</v>
      </c>
      <c r="E2555" s="2">
        <v>515700</v>
      </c>
    </row>
    <row r="2556" spans="1:5" x14ac:dyDescent="0.25">
      <c r="A2556" s="4">
        <v>41994.905578703707</v>
      </c>
      <c r="B2556" s="2" t="s">
        <v>584</v>
      </c>
      <c r="C2556" s="2" t="s">
        <v>96</v>
      </c>
      <c r="D2556" s="2" t="str">
        <f>"9780807895726"</f>
        <v>9780807895726</v>
      </c>
      <c r="E2556" s="2">
        <v>605930</v>
      </c>
    </row>
    <row r="2557" spans="1:5" x14ac:dyDescent="0.25">
      <c r="A2557" s="4">
        <v>41994.892916666664</v>
      </c>
      <c r="B2557" s="2" t="s">
        <v>1723</v>
      </c>
      <c r="C2557" s="2" t="s">
        <v>16</v>
      </c>
      <c r="D2557" s="2" t="str">
        <f>"9781609181604"</f>
        <v>9781609181604</v>
      </c>
      <c r="E2557" s="2">
        <v>670168</v>
      </c>
    </row>
    <row r="2558" spans="1:5" x14ac:dyDescent="0.25">
      <c r="A2558" s="4">
        <v>41994.90824074074</v>
      </c>
      <c r="B2558" s="2" t="s">
        <v>159</v>
      </c>
      <c r="C2558" s="2" t="s">
        <v>160</v>
      </c>
      <c r="D2558" s="2" t="str">
        <f>"9781444359435"</f>
        <v>9781444359435</v>
      </c>
      <c r="E2558" s="2">
        <v>822680</v>
      </c>
    </row>
    <row r="2559" spans="1:5" x14ac:dyDescent="0.25">
      <c r="A2559" s="4">
        <v>41931.483043981483</v>
      </c>
      <c r="B2559" s="2" t="s">
        <v>3144</v>
      </c>
      <c r="C2559" s="2" t="s">
        <v>96</v>
      </c>
      <c r="D2559" s="2" t="str">
        <f>"9780807895665"</f>
        <v>9780807895665</v>
      </c>
      <c r="E2559" s="2">
        <v>515676</v>
      </c>
    </row>
    <row r="2560" spans="1:5" x14ac:dyDescent="0.25">
      <c r="A2560" s="4">
        <v>41961.871192129627</v>
      </c>
      <c r="B2560" s="2" t="s">
        <v>2995</v>
      </c>
      <c r="C2560" s="2" t="s">
        <v>18</v>
      </c>
      <c r="D2560" s="2" t="str">
        <f>"9781408150184"</f>
        <v>9781408150184</v>
      </c>
      <c r="E2560" s="2">
        <v>1715657</v>
      </c>
    </row>
    <row r="2561" spans="1:5" x14ac:dyDescent="0.25">
      <c r="A2561" s="4">
        <v>41929.686597222222</v>
      </c>
      <c r="B2561" s="2" t="s">
        <v>3166</v>
      </c>
      <c r="C2561" s="2" t="s">
        <v>7</v>
      </c>
      <c r="D2561" s="2" t="str">
        <f>"9781452265056"</f>
        <v>9781452265056</v>
      </c>
      <c r="E2561" s="2">
        <v>1195915</v>
      </c>
    </row>
    <row r="2562" spans="1:5" x14ac:dyDescent="0.25">
      <c r="A2562" s="4">
        <v>41994.902002314811</v>
      </c>
      <c r="B2562" s="2" t="s">
        <v>712</v>
      </c>
      <c r="C2562" s="2" t="s">
        <v>119</v>
      </c>
      <c r="D2562" s="2" t="str">
        <f>"9780520954885"</f>
        <v>9780520954885</v>
      </c>
      <c r="E2562" s="2">
        <v>1163754</v>
      </c>
    </row>
    <row r="2563" spans="1:5" x14ac:dyDescent="0.25">
      <c r="A2563" s="4">
        <v>41994.878761574073</v>
      </c>
      <c r="B2563" s="2" t="s">
        <v>2181</v>
      </c>
      <c r="C2563" s="2" t="s">
        <v>2170</v>
      </c>
      <c r="D2563" s="2" t="str">
        <f>"9781780329727"</f>
        <v>9781780329727</v>
      </c>
      <c r="E2563" s="2">
        <v>1595477</v>
      </c>
    </row>
    <row r="2564" spans="1:5" x14ac:dyDescent="0.25">
      <c r="A2564" s="4">
        <v>41974.842245370368</v>
      </c>
      <c r="B2564" s="2" t="s">
        <v>2908</v>
      </c>
      <c r="C2564" s="2" t="s">
        <v>2170</v>
      </c>
      <c r="D2564" s="2" t="str">
        <f>"9781780327419"</f>
        <v>9781780327419</v>
      </c>
      <c r="E2564" s="2">
        <v>1218804</v>
      </c>
    </row>
    <row r="2565" spans="1:5" x14ac:dyDescent="0.25">
      <c r="A2565" s="4">
        <v>41916.668680555558</v>
      </c>
      <c r="B2565" s="2" t="s">
        <v>3474</v>
      </c>
      <c r="C2565" s="2" t="s">
        <v>36</v>
      </c>
      <c r="D2565" s="2" t="str">
        <f>"9781476614946"</f>
        <v>9781476614946</v>
      </c>
      <c r="E2565" s="2">
        <v>1688516</v>
      </c>
    </row>
    <row r="2566" spans="1:5" x14ac:dyDescent="0.25">
      <c r="A2566" s="4">
        <v>41994.899085648147</v>
      </c>
      <c r="B2566" s="2" t="s">
        <v>1299</v>
      </c>
      <c r="C2566" s="2" t="s">
        <v>63</v>
      </c>
      <c r="D2566" s="2" t="str">
        <f>"9781400840700"</f>
        <v>9781400840700</v>
      </c>
      <c r="E2566" s="2">
        <v>713809</v>
      </c>
    </row>
    <row r="2567" spans="1:5" x14ac:dyDescent="0.25">
      <c r="A2567" s="4">
        <v>41994.899062500001</v>
      </c>
      <c r="B2567" s="2" t="s">
        <v>1382</v>
      </c>
      <c r="C2567" s="2" t="s">
        <v>63</v>
      </c>
      <c r="D2567" s="2" t="str">
        <f>"9781400834907"</f>
        <v>9781400834907</v>
      </c>
      <c r="E2567" s="2">
        <v>537636</v>
      </c>
    </row>
    <row r="2568" spans="1:5" x14ac:dyDescent="0.25">
      <c r="A2568" s="4">
        <v>41994.90556712963</v>
      </c>
      <c r="B2568" s="2" t="s">
        <v>622</v>
      </c>
      <c r="C2568" s="2" t="s">
        <v>424</v>
      </c>
      <c r="D2568" s="2" t="str">
        <f>"9780807860090"</f>
        <v>9780807860090</v>
      </c>
      <c r="E2568" s="2">
        <v>413247</v>
      </c>
    </row>
    <row r="2569" spans="1:5" x14ac:dyDescent="0.25">
      <c r="A2569" s="4">
        <v>41994.905613425923</v>
      </c>
      <c r="B2569" s="2" t="s">
        <v>512</v>
      </c>
      <c r="C2569" s="2" t="s">
        <v>424</v>
      </c>
      <c r="D2569" s="2" t="str">
        <f>"9780807862346"</f>
        <v>9780807862346</v>
      </c>
      <c r="E2569" s="2">
        <v>880439</v>
      </c>
    </row>
    <row r="2570" spans="1:5" x14ac:dyDescent="0.25">
      <c r="A2570" s="4">
        <v>41994.901956018519</v>
      </c>
      <c r="B2570" s="2" t="s">
        <v>845</v>
      </c>
      <c r="C2570" s="2" t="s">
        <v>119</v>
      </c>
      <c r="D2570" s="2" t="str">
        <f>"9780520950320"</f>
        <v>9780520950320</v>
      </c>
      <c r="E2570" s="2">
        <v>744000</v>
      </c>
    </row>
    <row r="2571" spans="1:5" x14ac:dyDescent="0.25">
      <c r="A2571" s="4">
        <v>41994.901909722219</v>
      </c>
      <c r="B2571" s="2" t="s">
        <v>1015</v>
      </c>
      <c r="C2571" s="2" t="s">
        <v>119</v>
      </c>
      <c r="D2571" s="2" t="str">
        <f>"9780520910188"</f>
        <v>9780520910188</v>
      </c>
      <c r="E2571" s="2">
        <v>224005</v>
      </c>
    </row>
    <row r="2572" spans="1:5" x14ac:dyDescent="0.25">
      <c r="A2572" s="4">
        <v>41994.899131944447</v>
      </c>
      <c r="B2572" s="2" t="s">
        <v>1134</v>
      </c>
      <c r="C2572" s="2" t="s">
        <v>63</v>
      </c>
      <c r="D2572" s="2" t="str">
        <f>"9781400848188"</f>
        <v>9781400848188</v>
      </c>
      <c r="E2572" s="2">
        <v>1414123</v>
      </c>
    </row>
    <row r="2573" spans="1:5" x14ac:dyDescent="0.25">
      <c r="A2573" s="4">
        <v>41976.100706018522</v>
      </c>
      <c r="B2573" s="2" t="s">
        <v>2730</v>
      </c>
      <c r="C2573" s="2" t="s">
        <v>96</v>
      </c>
      <c r="D2573" s="2" t="str">
        <f>"9780807894156"</f>
        <v>9780807894156</v>
      </c>
      <c r="E2573" s="2">
        <v>454836</v>
      </c>
    </row>
    <row r="2574" spans="1:5" x14ac:dyDescent="0.25">
      <c r="A2574" s="4">
        <v>41994.899050925924</v>
      </c>
      <c r="B2574" s="2" t="s">
        <v>1387</v>
      </c>
      <c r="C2574" s="2" t="s">
        <v>63</v>
      </c>
      <c r="D2574" s="2" t="str">
        <f>"9781400832118"</f>
        <v>9781400832118</v>
      </c>
      <c r="E2574" s="2">
        <v>483546</v>
      </c>
    </row>
    <row r="2575" spans="1:5" x14ac:dyDescent="0.25">
      <c r="A2575" s="4">
        <v>41975.536550925928</v>
      </c>
      <c r="B2575" s="2" t="s">
        <v>2833</v>
      </c>
      <c r="C2575" s="2" t="s">
        <v>63</v>
      </c>
      <c r="D2575" s="2" t="str">
        <f>"9781400848423"</f>
        <v>9781400848423</v>
      </c>
      <c r="E2575" s="2">
        <v>1329784</v>
      </c>
    </row>
    <row r="2576" spans="1:5" x14ac:dyDescent="0.25">
      <c r="A2576" s="4">
        <v>41975.543993055559</v>
      </c>
      <c r="B2576" s="2" t="s">
        <v>2831</v>
      </c>
      <c r="C2576" s="2" t="s">
        <v>119</v>
      </c>
      <c r="D2576" s="2" t="str">
        <f>"9780520958340"</f>
        <v>9780520958340</v>
      </c>
      <c r="E2576" s="2">
        <v>1650803</v>
      </c>
    </row>
    <row r="2577" spans="1:5" x14ac:dyDescent="0.25">
      <c r="A2577" s="4">
        <v>41994.901956018519</v>
      </c>
      <c r="B2577" s="2" t="s">
        <v>847</v>
      </c>
      <c r="C2577" s="2" t="s">
        <v>119</v>
      </c>
      <c r="D2577" s="2" t="str">
        <f>"9780520949959"</f>
        <v>9780520949959</v>
      </c>
      <c r="E2577" s="2">
        <v>743995</v>
      </c>
    </row>
    <row r="2578" spans="1:5" x14ac:dyDescent="0.25">
      <c r="A2578" s="4">
        <v>41994.902013888888</v>
      </c>
      <c r="B2578" s="2" t="s">
        <v>678</v>
      </c>
      <c r="C2578" s="2" t="s">
        <v>119</v>
      </c>
      <c r="D2578" s="2" t="str">
        <f>"9780520958074"</f>
        <v>9780520958074</v>
      </c>
      <c r="E2578" s="2">
        <v>1589127</v>
      </c>
    </row>
    <row r="2579" spans="1:5" x14ac:dyDescent="0.25">
      <c r="A2579" s="4">
        <v>41994.899131944447</v>
      </c>
      <c r="B2579" s="2" t="s">
        <v>1150</v>
      </c>
      <c r="C2579" s="2" t="s">
        <v>63</v>
      </c>
      <c r="D2579" s="2" t="str">
        <f>"9781400849031"</f>
        <v>9781400849031</v>
      </c>
      <c r="E2579" s="2">
        <v>1221612</v>
      </c>
    </row>
    <row r="2580" spans="1:5" x14ac:dyDescent="0.25">
      <c r="A2580" s="4">
        <v>41994.901967592596</v>
      </c>
      <c r="B2580" s="2" t="s">
        <v>810</v>
      </c>
      <c r="C2580" s="2" t="s">
        <v>119</v>
      </c>
      <c r="D2580" s="2" t="str">
        <f>"9780520946002"</f>
        <v>9780520946002</v>
      </c>
      <c r="E2580" s="2">
        <v>837322</v>
      </c>
    </row>
    <row r="2581" spans="1:5" x14ac:dyDescent="0.25">
      <c r="A2581" s="4">
        <v>41912.433900462966</v>
      </c>
      <c r="B2581" s="2" t="s">
        <v>3569</v>
      </c>
      <c r="C2581" s="2" t="s">
        <v>7</v>
      </c>
      <c r="D2581" s="2" t="str">
        <f>"9781446248140"</f>
        <v>9781446248140</v>
      </c>
      <c r="E2581" s="2">
        <v>743717</v>
      </c>
    </row>
    <row r="2582" spans="1:5" x14ac:dyDescent="0.25">
      <c r="A2582" s="4">
        <v>41994.899050925924</v>
      </c>
      <c r="B2582" s="2" t="s">
        <v>1408</v>
      </c>
      <c r="C2582" s="2" t="s">
        <v>63</v>
      </c>
      <c r="D2582" s="2" t="str">
        <f>"9781400828852"</f>
        <v>9781400828852</v>
      </c>
      <c r="E2582" s="2">
        <v>457875</v>
      </c>
    </row>
    <row r="2583" spans="1:5" x14ac:dyDescent="0.25">
      <c r="A2583" s="4">
        <v>41900.70107638889</v>
      </c>
      <c r="B2583" s="2" t="s">
        <v>3831</v>
      </c>
      <c r="C2583" s="2" t="s">
        <v>26</v>
      </c>
      <c r="D2583" s="2" t="str">
        <f>"9780470929254"</f>
        <v>9780470929254</v>
      </c>
      <c r="E2583" s="2">
        <v>700334</v>
      </c>
    </row>
    <row r="2584" spans="1:5" x14ac:dyDescent="0.25">
      <c r="A2584" s="4">
        <v>41949.746666666666</v>
      </c>
      <c r="B2584" s="2" t="s">
        <v>2996</v>
      </c>
      <c r="C2584" s="2" t="s">
        <v>26</v>
      </c>
      <c r="D2584" s="2" t="str">
        <f>"9780470641668"</f>
        <v>9780470641668</v>
      </c>
      <c r="E2584" s="2">
        <v>529958</v>
      </c>
    </row>
    <row r="2585" spans="1:5" x14ac:dyDescent="0.25">
      <c r="A2585" s="4">
        <v>41904.651041666664</v>
      </c>
      <c r="B2585" s="2" t="s">
        <v>2996</v>
      </c>
      <c r="C2585" s="2" t="s">
        <v>26</v>
      </c>
      <c r="D2585" s="2" t="str">
        <f>"9780470641668"</f>
        <v>9780470641668</v>
      </c>
      <c r="E2585" s="2">
        <v>529958</v>
      </c>
    </row>
    <row r="2586" spans="1:5" x14ac:dyDescent="0.25">
      <c r="A2586" s="4">
        <v>41803.843564814815</v>
      </c>
      <c r="B2586" s="2" t="s">
        <v>2996</v>
      </c>
      <c r="C2586" s="2" t="s">
        <v>26</v>
      </c>
      <c r="D2586" s="2" t="str">
        <f>"9780470641668"</f>
        <v>9780470641668</v>
      </c>
      <c r="E2586" s="2">
        <v>529958</v>
      </c>
    </row>
    <row r="2587" spans="1:5" x14ac:dyDescent="0.25">
      <c r="A2587" s="4">
        <v>41983.483043981483</v>
      </c>
      <c r="B2587" s="2" t="s">
        <v>2408</v>
      </c>
      <c r="C2587" s="2" t="s">
        <v>119</v>
      </c>
      <c r="D2587" s="2" t="str">
        <f>"9780520921504"</f>
        <v>9780520921504</v>
      </c>
      <c r="E2587" s="2">
        <v>1040630</v>
      </c>
    </row>
    <row r="2588" spans="1:5" x14ac:dyDescent="0.25">
      <c r="A2588" s="4">
        <v>41934.712569444448</v>
      </c>
      <c r="B2588" s="2" t="s">
        <v>3052</v>
      </c>
      <c r="C2588" s="2" t="s">
        <v>26</v>
      </c>
      <c r="D2588" s="2" t="str">
        <f>"9781118008546"</f>
        <v>9781118008546</v>
      </c>
      <c r="E2588" s="2">
        <v>700523</v>
      </c>
    </row>
    <row r="2589" spans="1:5" x14ac:dyDescent="0.25">
      <c r="A2589" s="4">
        <v>41884.901388888888</v>
      </c>
      <c r="B2589" s="2" t="s">
        <v>3908</v>
      </c>
      <c r="C2589" s="2" t="s">
        <v>119</v>
      </c>
      <c r="D2589" s="2" t="str">
        <f>"9780520954632"</f>
        <v>9780520954632</v>
      </c>
      <c r="E2589" s="2">
        <v>1337905</v>
      </c>
    </row>
    <row r="2590" spans="1:5" x14ac:dyDescent="0.25">
      <c r="A2590" s="4">
        <v>41917.431898148148</v>
      </c>
      <c r="B2590" s="2" t="s">
        <v>3465</v>
      </c>
      <c r="C2590" s="2" t="s">
        <v>119</v>
      </c>
      <c r="D2590" s="2" t="str">
        <f>"9780520953659"</f>
        <v>9780520953659</v>
      </c>
      <c r="E2590" s="2">
        <v>1033730</v>
      </c>
    </row>
    <row r="2591" spans="1:5" x14ac:dyDescent="0.25">
      <c r="A2591" s="4">
        <v>41936.365046296298</v>
      </c>
      <c r="B2591" s="2" t="s">
        <v>3006</v>
      </c>
      <c r="C2591" s="2" t="s">
        <v>96</v>
      </c>
      <c r="D2591" s="2" t="str">
        <f>"9780807869994"</f>
        <v>9780807869994</v>
      </c>
      <c r="E2591" s="2">
        <v>877306</v>
      </c>
    </row>
    <row r="2592" spans="1:5" x14ac:dyDescent="0.25">
      <c r="A2592" s="4">
        <v>41994.889918981484</v>
      </c>
      <c r="B2592" s="2" t="s">
        <v>1841</v>
      </c>
      <c r="C2592" s="2" t="s">
        <v>72</v>
      </c>
      <c r="D2592" s="2" t="str">
        <f>"9780748647163"</f>
        <v>9780748647163</v>
      </c>
      <c r="E2592" s="2">
        <v>1118877</v>
      </c>
    </row>
    <row r="2593" spans="1:5" x14ac:dyDescent="0.25">
      <c r="A2593" s="4">
        <v>41976.006122685183</v>
      </c>
      <c r="B2593" s="2" t="s">
        <v>2737</v>
      </c>
      <c r="C2593" s="2" t="s">
        <v>36</v>
      </c>
      <c r="D2593" s="2" t="str">
        <f>"9781476613673"</f>
        <v>9781476613673</v>
      </c>
      <c r="E2593" s="2">
        <v>1578232</v>
      </c>
    </row>
    <row r="2594" spans="1:5" x14ac:dyDescent="0.25">
      <c r="A2594" s="4">
        <v>41987.929513888892</v>
      </c>
      <c r="B2594" s="2" t="s">
        <v>2305</v>
      </c>
      <c r="C2594" s="2" t="s">
        <v>26</v>
      </c>
      <c r="D2594" s="2" t="str">
        <f>"9781119951148"</f>
        <v>9781119951148</v>
      </c>
      <c r="E2594" s="2">
        <v>827072</v>
      </c>
    </row>
    <row r="2595" spans="1:5" x14ac:dyDescent="0.25">
      <c r="A2595" s="4">
        <v>41994.899155092593</v>
      </c>
      <c r="B2595" s="2" t="s">
        <v>1051</v>
      </c>
      <c r="C2595" s="2" t="s">
        <v>63</v>
      </c>
      <c r="D2595" s="2" t="str">
        <f>"9781400852413"</f>
        <v>9781400852413</v>
      </c>
      <c r="E2595" s="2">
        <v>1753401</v>
      </c>
    </row>
    <row r="2596" spans="1:5" x14ac:dyDescent="0.25">
      <c r="A2596" s="4">
        <v>41994.899062500001</v>
      </c>
      <c r="B2596" s="2" t="s">
        <v>1371</v>
      </c>
      <c r="C2596" s="2" t="s">
        <v>63</v>
      </c>
      <c r="D2596" s="2" t="str">
        <f>"9781400823178"</f>
        <v>9781400823178</v>
      </c>
      <c r="E2596" s="2">
        <v>537717</v>
      </c>
    </row>
    <row r="2597" spans="1:5" x14ac:dyDescent="0.25">
      <c r="A2597" s="4">
        <v>41994.89607638889</v>
      </c>
      <c r="B2597" s="2" t="s">
        <v>1615</v>
      </c>
      <c r="C2597" s="2" t="s">
        <v>28</v>
      </c>
      <c r="D2597" s="2" t="str">
        <f>"9780253109767"</f>
        <v>9780253109767</v>
      </c>
      <c r="E2597" s="2">
        <v>149191</v>
      </c>
    </row>
    <row r="2598" spans="1:5" x14ac:dyDescent="0.25">
      <c r="A2598" s="4">
        <v>41974.890173611115</v>
      </c>
      <c r="B2598" s="2" t="s">
        <v>2899</v>
      </c>
      <c r="C2598" s="2" t="s">
        <v>424</v>
      </c>
      <c r="D2598" s="2" t="str">
        <f>"9781469610054"</f>
        <v>9781469610054</v>
      </c>
      <c r="E2598" s="2">
        <v>1111292</v>
      </c>
    </row>
    <row r="2599" spans="1:5" x14ac:dyDescent="0.25">
      <c r="A2599" s="4">
        <v>41849.590277777781</v>
      </c>
      <c r="B2599" s="2" t="s">
        <v>3969</v>
      </c>
      <c r="C2599" s="2" t="s">
        <v>18</v>
      </c>
      <c r="D2599" s="2" t="str">
        <f>"9781441166289"</f>
        <v>9781441166289</v>
      </c>
      <c r="E2599" s="2">
        <v>831488</v>
      </c>
    </row>
    <row r="2600" spans="1:5" x14ac:dyDescent="0.25">
      <c r="A2600" s="4">
        <v>41975.482986111114</v>
      </c>
      <c r="B2600" s="2" t="s">
        <v>2841</v>
      </c>
      <c r="C2600" s="2" t="s">
        <v>18</v>
      </c>
      <c r="D2600" s="2" t="str">
        <f>"9781441166487"</f>
        <v>9781441166487</v>
      </c>
      <c r="E2600" s="2">
        <v>476521</v>
      </c>
    </row>
    <row r="2601" spans="1:5" x14ac:dyDescent="0.25">
      <c r="A2601" s="4">
        <v>41899.679965277777</v>
      </c>
      <c r="B2601" s="2" t="s">
        <v>3854</v>
      </c>
      <c r="C2601" s="2" t="s">
        <v>18</v>
      </c>
      <c r="D2601" s="2" t="str">
        <f>"9781441184313"</f>
        <v>9781441184313</v>
      </c>
      <c r="E2601" s="2">
        <v>1080382</v>
      </c>
    </row>
    <row r="2602" spans="1:5" x14ac:dyDescent="0.25">
      <c r="A2602" s="4">
        <v>41975.561956018515</v>
      </c>
      <c r="B2602" s="2" t="s">
        <v>2828</v>
      </c>
      <c r="C2602" s="2" t="s">
        <v>18</v>
      </c>
      <c r="D2602" s="2" t="str">
        <f>"9781441197061"</f>
        <v>9781441197061</v>
      </c>
      <c r="E2602" s="2">
        <v>743194</v>
      </c>
    </row>
    <row r="2603" spans="1:5" x14ac:dyDescent="0.25">
      <c r="A2603" s="4">
        <v>41994.899050925924</v>
      </c>
      <c r="B2603" s="2" t="s">
        <v>1401</v>
      </c>
      <c r="C2603" s="2" t="s">
        <v>63</v>
      </c>
      <c r="D2603" s="2" t="str">
        <f>"9781400830978"</f>
        <v>9781400830978</v>
      </c>
      <c r="E2603" s="2">
        <v>457927</v>
      </c>
    </row>
    <row r="2604" spans="1:5" x14ac:dyDescent="0.25">
      <c r="A2604" s="4">
        <v>43129.65766203704</v>
      </c>
      <c r="B2604" s="2" t="s">
        <v>122</v>
      </c>
      <c r="C2604" s="2" t="s">
        <v>96</v>
      </c>
      <c r="D2604" s="2" t="str">
        <f>"9781469634647"</f>
        <v>9781469634647</v>
      </c>
      <c r="E2604" s="2">
        <v>5015527</v>
      </c>
    </row>
    <row r="2605" spans="1:5" x14ac:dyDescent="0.25">
      <c r="A2605" s="4">
        <v>41994.885046296295</v>
      </c>
      <c r="B2605" s="2" t="s">
        <v>1984</v>
      </c>
      <c r="C2605" s="2" t="s">
        <v>18</v>
      </c>
      <c r="D2605" s="2" t="str">
        <f>"9781472567475"</f>
        <v>9781472567475</v>
      </c>
      <c r="E2605" s="2">
        <v>1477389</v>
      </c>
    </row>
    <row r="2606" spans="1:5" x14ac:dyDescent="0.25">
      <c r="A2606" s="4">
        <v>41985.603541666664</v>
      </c>
      <c r="B2606" s="2" t="s">
        <v>2331</v>
      </c>
      <c r="C2606" s="2" t="s">
        <v>63</v>
      </c>
      <c r="D2606" s="2" t="str">
        <f>"9781400836321"</f>
        <v>9781400836321</v>
      </c>
      <c r="E2606" s="2">
        <v>646746</v>
      </c>
    </row>
    <row r="2607" spans="1:5" x14ac:dyDescent="0.25">
      <c r="A2607" s="4">
        <v>41979.767002314817</v>
      </c>
      <c r="B2607" s="2" t="s">
        <v>2532</v>
      </c>
      <c r="C2607" s="2" t="s">
        <v>63</v>
      </c>
      <c r="D2607" s="2" t="str">
        <f>"9781400831203"</f>
        <v>9781400831203</v>
      </c>
      <c r="E2607" s="2">
        <v>475848</v>
      </c>
    </row>
    <row r="2608" spans="1:5" x14ac:dyDescent="0.25">
      <c r="A2608" s="4">
        <v>41994.896122685182</v>
      </c>
      <c r="B2608" s="2" t="s">
        <v>1547</v>
      </c>
      <c r="C2608" s="2" t="s">
        <v>28</v>
      </c>
      <c r="D2608" s="2" t="str">
        <f>"9780253114310"</f>
        <v>9780253114310</v>
      </c>
      <c r="E2608" s="2">
        <v>670335</v>
      </c>
    </row>
    <row r="2609" spans="1:5" x14ac:dyDescent="0.25">
      <c r="A2609" s="4">
        <v>41994.889861111114</v>
      </c>
      <c r="B2609" s="2" t="s">
        <v>1916</v>
      </c>
      <c r="C2609" s="2" t="s">
        <v>72</v>
      </c>
      <c r="D2609" s="2" t="str">
        <f>"9780748631216"</f>
        <v>9780748631216</v>
      </c>
      <c r="E2609" s="2">
        <v>380407</v>
      </c>
    </row>
    <row r="2610" spans="1:5" x14ac:dyDescent="0.25">
      <c r="A2610" s="4">
        <v>41994.892928240741</v>
      </c>
      <c r="B2610" s="2" t="s">
        <v>1700</v>
      </c>
      <c r="C2610" s="2" t="s">
        <v>16</v>
      </c>
      <c r="D2610" s="2" t="str">
        <f>"9781609189822"</f>
        <v>9781609189822</v>
      </c>
      <c r="E2610" s="2">
        <v>800609</v>
      </c>
    </row>
    <row r="2611" spans="1:5" x14ac:dyDescent="0.25">
      <c r="A2611" s="4">
        <v>41994.908229166664</v>
      </c>
      <c r="B2611" s="2" t="s">
        <v>201</v>
      </c>
      <c r="C2611" s="2" t="s">
        <v>26</v>
      </c>
      <c r="D2611" s="2" t="str">
        <f>"9781118136744"</f>
        <v>9781118136744</v>
      </c>
      <c r="E2611" s="2">
        <v>817349</v>
      </c>
    </row>
    <row r="2612" spans="1:5" x14ac:dyDescent="0.25">
      <c r="A2612" s="4">
        <v>41968.62976851852</v>
      </c>
      <c r="B2612" s="2" t="s">
        <v>2992</v>
      </c>
      <c r="C2612" s="2" t="s">
        <v>119</v>
      </c>
      <c r="D2612" s="2" t="str">
        <f>"9780520938946"</f>
        <v>9780520938946</v>
      </c>
      <c r="E2612" s="2">
        <v>239229</v>
      </c>
    </row>
    <row r="2613" spans="1:5" x14ac:dyDescent="0.25">
      <c r="A2613" s="4">
        <v>41994.901932870373</v>
      </c>
      <c r="B2613" s="2" t="s">
        <v>944</v>
      </c>
      <c r="C2613" s="2" t="s">
        <v>119</v>
      </c>
      <c r="D2613" s="2" t="str">
        <f>"9780520946071"</f>
        <v>9780520946071</v>
      </c>
      <c r="E2613" s="2">
        <v>470946</v>
      </c>
    </row>
    <row r="2614" spans="1:5" x14ac:dyDescent="0.25">
      <c r="A2614" s="4">
        <v>41975.518020833333</v>
      </c>
      <c r="B2614" s="2" t="s">
        <v>2836</v>
      </c>
      <c r="C2614" s="2" t="s">
        <v>119</v>
      </c>
      <c r="D2614" s="2" t="str">
        <f>"9780520936317"</f>
        <v>9780520936317</v>
      </c>
      <c r="E2614" s="2">
        <v>223645</v>
      </c>
    </row>
    <row r="2615" spans="1:5" x14ac:dyDescent="0.25">
      <c r="A2615" s="4">
        <v>41923.667500000003</v>
      </c>
      <c r="B2615" s="2" t="s">
        <v>3305</v>
      </c>
      <c r="C2615" s="2" t="s">
        <v>119</v>
      </c>
      <c r="D2615" s="2" t="str">
        <f>"9780520949447"</f>
        <v>9780520949447</v>
      </c>
      <c r="E2615" s="2">
        <v>656673</v>
      </c>
    </row>
    <row r="2616" spans="1:5" x14ac:dyDescent="0.25">
      <c r="A2616" s="4">
        <v>41904.357418981483</v>
      </c>
      <c r="B2616" s="2" t="s">
        <v>3784</v>
      </c>
      <c r="C2616" s="2" t="s">
        <v>63</v>
      </c>
      <c r="D2616" s="2" t="str">
        <f>"9781400842926"</f>
        <v>9781400842926</v>
      </c>
      <c r="E2616" s="2">
        <v>827796</v>
      </c>
    </row>
    <row r="2617" spans="1:5" x14ac:dyDescent="0.25">
      <c r="A2617" s="4">
        <v>41994.899062500001</v>
      </c>
      <c r="B2617" s="2" t="s">
        <v>1368</v>
      </c>
      <c r="C2617" s="2" t="s">
        <v>63</v>
      </c>
      <c r="D2617" s="2" t="str">
        <f>"9781400835119"</f>
        <v>9781400835119</v>
      </c>
      <c r="E2617" s="2">
        <v>540270</v>
      </c>
    </row>
    <row r="2618" spans="1:5" x14ac:dyDescent="0.25">
      <c r="A2618" s="4">
        <v>41980.545486111114</v>
      </c>
      <c r="B2618" s="2" t="s">
        <v>2513</v>
      </c>
      <c r="C2618" s="2" t="s">
        <v>26</v>
      </c>
      <c r="D2618" s="2" t="str">
        <f>"9781444344004"</f>
        <v>9781444344004</v>
      </c>
      <c r="E2618" s="2">
        <v>819311</v>
      </c>
    </row>
    <row r="2619" spans="1:5" x14ac:dyDescent="0.25">
      <c r="A2619" s="4">
        <v>41994.908217592594</v>
      </c>
      <c r="B2619" s="2" t="s">
        <v>235</v>
      </c>
      <c r="C2619" s="2" t="s">
        <v>26</v>
      </c>
      <c r="D2619" s="2" t="str">
        <f>"9780470933381"</f>
        <v>9780470933381</v>
      </c>
      <c r="E2619" s="2">
        <v>698704</v>
      </c>
    </row>
    <row r="2620" spans="1:5" x14ac:dyDescent="0.25">
      <c r="A2620" s="4">
        <v>41928.833009259259</v>
      </c>
      <c r="B2620" s="2" t="s">
        <v>3190</v>
      </c>
      <c r="C2620" s="2" t="s">
        <v>26</v>
      </c>
      <c r="D2620" s="2" t="str">
        <f>"9781444347173"</f>
        <v>9781444347173</v>
      </c>
      <c r="E2620" s="2">
        <v>822647</v>
      </c>
    </row>
    <row r="2621" spans="1:5" x14ac:dyDescent="0.25">
      <c r="A2621" s="4">
        <v>41994.889884259261</v>
      </c>
      <c r="B2621" s="2" t="s">
        <v>1875</v>
      </c>
      <c r="C2621" s="2" t="s">
        <v>72</v>
      </c>
      <c r="D2621" s="2" t="str">
        <f>"9780748646081"</f>
        <v>9780748646081</v>
      </c>
      <c r="E2621" s="2">
        <v>714134</v>
      </c>
    </row>
    <row r="2622" spans="1:5" x14ac:dyDescent="0.25">
      <c r="A2622" s="4">
        <v>41994.908229166664</v>
      </c>
      <c r="B2622" s="2" t="s">
        <v>218</v>
      </c>
      <c r="C2622" s="2" t="s">
        <v>26</v>
      </c>
      <c r="D2622" s="2" t="str">
        <f>"9781118013014"</f>
        <v>9781118013014</v>
      </c>
      <c r="E2622" s="2">
        <v>706694</v>
      </c>
    </row>
    <row r="2623" spans="1:5" x14ac:dyDescent="0.25">
      <c r="A2623" s="4">
        <v>41979.098067129627</v>
      </c>
      <c r="B2623" s="2" t="s">
        <v>2549</v>
      </c>
      <c r="C2623" s="2" t="s">
        <v>7</v>
      </c>
      <c r="D2623" s="2" t="str">
        <f>"9781452251202"</f>
        <v>9781452251202</v>
      </c>
      <c r="E2623" s="2">
        <v>997112</v>
      </c>
    </row>
    <row r="2624" spans="1:5" x14ac:dyDescent="0.25">
      <c r="A2624" s="4">
        <v>41994.892951388887</v>
      </c>
      <c r="B2624" s="2" t="s">
        <v>1638</v>
      </c>
      <c r="C2624" s="2" t="s">
        <v>16</v>
      </c>
      <c r="D2624" s="2" t="str">
        <f>"9781462513628"</f>
        <v>9781462513628</v>
      </c>
      <c r="E2624" s="2">
        <v>1596090</v>
      </c>
    </row>
    <row r="2625" spans="1:5" x14ac:dyDescent="0.25">
      <c r="A2625" s="4">
        <v>41994.908217592594</v>
      </c>
      <c r="B2625" s="2" t="s">
        <v>266</v>
      </c>
      <c r="C2625" s="2" t="s">
        <v>26</v>
      </c>
      <c r="D2625" s="2" t="str">
        <f>"9781118010815"</f>
        <v>9781118010815</v>
      </c>
      <c r="E2625" s="2">
        <v>693524</v>
      </c>
    </row>
    <row r="2626" spans="1:5" x14ac:dyDescent="0.25">
      <c r="A2626" s="4">
        <v>41994.908229166664</v>
      </c>
      <c r="B2626" s="2" t="s">
        <v>216</v>
      </c>
      <c r="C2626" s="2" t="s">
        <v>26</v>
      </c>
      <c r="D2626" s="2" t="str">
        <f>"9781118014875"</f>
        <v>9781118014875</v>
      </c>
      <c r="E2626" s="2">
        <v>706733</v>
      </c>
    </row>
    <row r="2627" spans="1:5" x14ac:dyDescent="0.25">
      <c r="A2627" s="4">
        <v>41921.328935185185</v>
      </c>
      <c r="B2627" s="2" t="s">
        <v>3350</v>
      </c>
      <c r="C2627" s="2" t="s">
        <v>26</v>
      </c>
      <c r="D2627" s="2" t="str">
        <f>"9780470730164"</f>
        <v>9780470730164</v>
      </c>
      <c r="E2627" s="2">
        <v>433728</v>
      </c>
    </row>
    <row r="2628" spans="1:5" x14ac:dyDescent="0.25">
      <c r="A2628" s="4">
        <v>42886.492025462961</v>
      </c>
      <c r="B2628" s="2" t="s">
        <v>133</v>
      </c>
      <c r="C2628" s="2" t="s">
        <v>26</v>
      </c>
      <c r="D2628" s="2" t="str">
        <f>"9781119048299"</f>
        <v>9781119048299</v>
      </c>
      <c r="E2628" s="2">
        <v>4570689</v>
      </c>
    </row>
    <row r="2629" spans="1:5" x14ac:dyDescent="0.25">
      <c r="A2629" s="4">
        <v>43139.360844907409</v>
      </c>
      <c r="B2629" s="2" t="s">
        <v>112</v>
      </c>
      <c r="C2629" s="2" t="s">
        <v>5</v>
      </c>
      <c r="D2629" s="2" t="str">
        <f>"9781784502317"</f>
        <v>9781784502317</v>
      </c>
      <c r="E2629" s="2">
        <v>5117052</v>
      </c>
    </row>
    <row r="2630" spans="1:5" x14ac:dyDescent="0.25">
      <c r="A2630" s="4">
        <v>41908.730682870373</v>
      </c>
      <c r="B2630" s="2" t="s">
        <v>3639</v>
      </c>
      <c r="C2630" s="2" t="s">
        <v>7</v>
      </c>
      <c r="D2630" s="2" t="str">
        <f>"9781452230818"</f>
        <v>9781452230818</v>
      </c>
      <c r="E2630" s="2">
        <v>1051682</v>
      </c>
    </row>
    <row r="2631" spans="1:5" x14ac:dyDescent="0.25">
      <c r="A2631" s="4">
        <v>41994.892905092594</v>
      </c>
      <c r="B2631" s="2" t="s">
        <v>1747</v>
      </c>
      <c r="C2631" s="2" t="s">
        <v>16</v>
      </c>
      <c r="D2631" s="2" t="str">
        <f>"9781606236024"</f>
        <v>9781606236024</v>
      </c>
      <c r="E2631" s="2">
        <v>494688</v>
      </c>
    </row>
    <row r="2632" spans="1:5" x14ac:dyDescent="0.25">
      <c r="A2632" s="4">
        <v>41994.892939814818</v>
      </c>
      <c r="B2632" s="2" t="s">
        <v>1670</v>
      </c>
      <c r="C2632" s="2" t="s">
        <v>16</v>
      </c>
      <c r="D2632" s="2" t="str">
        <f>"9781462507634"</f>
        <v>9781462507634</v>
      </c>
      <c r="E2632" s="2">
        <v>1069226</v>
      </c>
    </row>
    <row r="2633" spans="1:5" x14ac:dyDescent="0.25">
      <c r="A2633" s="4">
        <v>41975.01253472222</v>
      </c>
      <c r="B2633" s="2" t="s">
        <v>2879</v>
      </c>
      <c r="C2633" s="2" t="s">
        <v>2283</v>
      </c>
      <c r="D2633" s="2" t="str">
        <f>"9789027271150"</f>
        <v>9789027271150</v>
      </c>
      <c r="E2633" s="2">
        <v>1550493</v>
      </c>
    </row>
    <row r="2634" spans="1:5" x14ac:dyDescent="0.25">
      <c r="A2634" s="4">
        <v>41906.903020833335</v>
      </c>
      <c r="B2634" s="2" t="s">
        <v>3696</v>
      </c>
      <c r="C2634" s="2" t="s">
        <v>119</v>
      </c>
      <c r="D2634" s="2" t="str">
        <f>"9780520922310"</f>
        <v>9780520922310</v>
      </c>
      <c r="E2634" s="2">
        <v>1324257</v>
      </c>
    </row>
    <row r="2635" spans="1:5" x14ac:dyDescent="0.25">
      <c r="A2635" s="4">
        <v>41994.901990740742</v>
      </c>
      <c r="B2635" s="2" t="s">
        <v>749</v>
      </c>
      <c r="C2635" s="2" t="s">
        <v>119</v>
      </c>
      <c r="D2635" s="2" t="str">
        <f>"9780520954113"</f>
        <v>9780520954113</v>
      </c>
      <c r="E2635" s="2">
        <v>996189</v>
      </c>
    </row>
    <row r="2636" spans="1:5" x14ac:dyDescent="0.25">
      <c r="A2636" s="4">
        <v>41927.522175925929</v>
      </c>
      <c r="B2636" s="2" t="s">
        <v>3219</v>
      </c>
      <c r="C2636" s="2" t="s">
        <v>5</v>
      </c>
      <c r="D2636" s="2" t="str">
        <f>"9781846426315"</f>
        <v>9781846426315</v>
      </c>
      <c r="E2636" s="2">
        <v>334141</v>
      </c>
    </row>
    <row r="2637" spans="1:5" x14ac:dyDescent="0.25">
      <c r="A2637" s="4">
        <v>41925.569189814814</v>
      </c>
      <c r="B2637" s="2" t="s">
        <v>3275</v>
      </c>
      <c r="C2637" s="2" t="s">
        <v>3276</v>
      </c>
      <c r="D2637" s="2" t="str">
        <f>"9781847312662"</f>
        <v>9781847312662</v>
      </c>
      <c r="E2637" s="2">
        <v>286418</v>
      </c>
    </row>
    <row r="2638" spans="1:5" x14ac:dyDescent="0.25">
      <c r="A2638" s="4">
        <v>41975.907476851855</v>
      </c>
      <c r="B2638" s="2" t="s">
        <v>2756</v>
      </c>
      <c r="C2638" s="2" t="s">
        <v>26</v>
      </c>
      <c r="D2638" s="2" t="str">
        <f>"9780470399323"</f>
        <v>9780470399323</v>
      </c>
      <c r="E2638" s="2">
        <v>362097</v>
      </c>
    </row>
    <row r="2639" spans="1:5" x14ac:dyDescent="0.25">
      <c r="A2639" s="4">
        <v>41994.90824074074</v>
      </c>
      <c r="B2639" s="2" t="s">
        <v>186</v>
      </c>
      <c r="C2639" s="2" t="s">
        <v>26</v>
      </c>
      <c r="D2639" s="2" t="str">
        <f>"9781118148358"</f>
        <v>9781118148358</v>
      </c>
      <c r="E2639" s="2">
        <v>818778</v>
      </c>
    </row>
    <row r="2640" spans="1:5" x14ac:dyDescent="0.25">
      <c r="A2640" s="4">
        <v>41905.797974537039</v>
      </c>
      <c r="B2640" s="2" t="s">
        <v>3730</v>
      </c>
      <c r="C2640" s="2" t="s">
        <v>1934</v>
      </c>
      <c r="D2640" s="2" t="str">
        <f>"9781441178619"</f>
        <v>9781441178619</v>
      </c>
      <c r="E2640" s="2">
        <v>1113786</v>
      </c>
    </row>
    <row r="2641" spans="1:5" x14ac:dyDescent="0.25">
      <c r="A2641" s="4">
        <v>41981.558055555557</v>
      </c>
      <c r="B2641" s="2" t="s">
        <v>2477</v>
      </c>
      <c r="C2641" s="2" t="s">
        <v>16</v>
      </c>
      <c r="D2641" s="2" t="str">
        <f>"9781593855314"</f>
        <v>9781593855314</v>
      </c>
      <c r="E2641" s="2">
        <v>306787</v>
      </c>
    </row>
    <row r="2642" spans="1:5" x14ac:dyDescent="0.25">
      <c r="A2642" s="4">
        <v>41994.90824074074</v>
      </c>
      <c r="B2642" s="2" t="s">
        <v>167</v>
      </c>
      <c r="C2642" s="2" t="s">
        <v>26</v>
      </c>
      <c r="D2642" s="2" t="str">
        <f>"9781118209165"</f>
        <v>9781118209165</v>
      </c>
      <c r="E2642" s="2">
        <v>822468</v>
      </c>
    </row>
    <row r="2643" spans="1:5" x14ac:dyDescent="0.25">
      <c r="A2643" s="4">
        <v>41994.89912037037</v>
      </c>
      <c r="B2643" s="2" t="s">
        <v>1166</v>
      </c>
      <c r="C2643" s="2" t="s">
        <v>63</v>
      </c>
      <c r="D2643" s="2" t="str">
        <f>"9781400847617"</f>
        <v>9781400847617</v>
      </c>
      <c r="E2643" s="2">
        <v>1163700</v>
      </c>
    </row>
    <row r="2644" spans="1:5" x14ac:dyDescent="0.25">
      <c r="A2644" s="4">
        <v>41983.685648148145</v>
      </c>
      <c r="B2644" s="2" t="s">
        <v>2399</v>
      </c>
      <c r="C2644" s="2" t="s">
        <v>63</v>
      </c>
      <c r="D2644" s="2" t="str">
        <f>"9781400836550"</f>
        <v>9781400836550</v>
      </c>
      <c r="E2644" s="2">
        <v>664549</v>
      </c>
    </row>
    <row r="2645" spans="1:5" x14ac:dyDescent="0.25">
      <c r="A2645" s="4">
        <v>41994.892905092594</v>
      </c>
      <c r="B2645" s="2" t="s">
        <v>1740</v>
      </c>
      <c r="C2645" s="2" t="s">
        <v>16</v>
      </c>
      <c r="D2645" s="2" t="str">
        <f>"9781606237090"</f>
        <v>9781606237090</v>
      </c>
      <c r="E2645" s="2">
        <v>515895</v>
      </c>
    </row>
    <row r="2646" spans="1:5" x14ac:dyDescent="0.25">
      <c r="A2646" s="4">
        <v>41994.908194444448</v>
      </c>
      <c r="B2646" s="2" t="s">
        <v>321</v>
      </c>
      <c r="C2646" s="2" t="s">
        <v>26</v>
      </c>
      <c r="D2646" s="2" t="str">
        <f>"9780470883020"</f>
        <v>9780470883020</v>
      </c>
      <c r="E2646" s="2">
        <v>540078</v>
      </c>
    </row>
    <row r="2647" spans="1:5" x14ac:dyDescent="0.25">
      <c r="A2647" s="4">
        <v>41904.791493055556</v>
      </c>
      <c r="B2647" s="2" t="s">
        <v>3763</v>
      </c>
      <c r="C2647" s="2" t="s">
        <v>160</v>
      </c>
      <c r="D2647" s="2" t="str">
        <f>"9781118027691"</f>
        <v>9781118027691</v>
      </c>
      <c r="E2647" s="2">
        <v>675055</v>
      </c>
    </row>
    <row r="2648" spans="1:5" x14ac:dyDescent="0.25">
      <c r="A2648" s="4">
        <v>41934.619641203702</v>
      </c>
      <c r="B2648" s="2" t="s">
        <v>3056</v>
      </c>
      <c r="C2648" s="2" t="s">
        <v>26</v>
      </c>
      <c r="D2648" s="2" t="str">
        <f>"9780470090022"</f>
        <v>9780470090022</v>
      </c>
      <c r="E2648" s="2">
        <v>194351</v>
      </c>
    </row>
    <row r="2649" spans="1:5" x14ac:dyDescent="0.25">
      <c r="A2649" s="4">
        <v>41994.89607638889</v>
      </c>
      <c r="B2649" s="2" t="s">
        <v>1617</v>
      </c>
      <c r="C2649" s="2" t="s">
        <v>28</v>
      </c>
      <c r="D2649" s="2" t="str">
        <f>"9780253108852"</f>
        <v>9780253108852</v>
      </c>
      <c r="E2649" s="2">
        <v>130064</v>
      </c>
    </row>
    <row r="2650" spans="1:5" x14ac:dyDescent="0.25">
      <c r="A2650" s="4">
        <v>43139.360844907409</v>
      </c>
      <c r="B2650" s="2" t="s">
        <v>111</v>
      </c>
      <c r="C2650" s="2" t="s">
        <v>5</v>
      </c>
      <c r="D2650" s="2" t="str">
        <f>"9781784502652"</f>
        <v>9781784502652</v>
      </c>
      <c r="E2650" s="2">
        <v>5117054</v>
      </c>
    </row>
    <row r="2651" spans="1:5" x14ac:dyDescent="0.25">
      <c r="A2651" s="4">
        <v>41994.896087962959</v>
      </c>
      <c r="B2651" s="2" t="s">
        <v>1605</v>
      </c>
      <c r="C2651" s="2" t="s">
        <v>28</v>
      </c>
      <c r="D2651" s="2" t="str">
        <f>"9780253112132"</f>
        <v>9780253112132</v>
      </c>
      <c r="E2651" s="2">
        <v>288360</v>
      </c>
    </row>
    <row r="2652" spans="1:5" x14ac:dyDescent="0.25">
      <c r="A2652" s="4">
        <v>41994.901898148149</v>
      </c>
      <c r="B2652" s="2" t="s">
        <v>1035</v>
      </c>
      <c r="C2652" s="2" t="s">
        <v>119</v>
      </c>
      <c r="D2652" s="2" t="str">
        <f>"9780520923508"</f>
        <v>9780520923508</v>
      </c>
      <c r="E2652" s="2">
        <v>223068</v>
      </c>
    </row>
    <row r="2653" spans="1:5" x14ac:dyDescent="0.25">
      <c r="A2653" s="4">
        <v>41918.893726851849</v>
      </c>
      <c r="B2653" s="2" t="s">
        <v>3412</v>
      </c>
      <c r="C2653" s="2" t="s">
        <v>119</v>
      </c>
      <c r="D2653" s="2" t="str">
        <f>"9780520929494"</f>
        <v>9780520929494</v>
      </c>
      <c r="E2653" s="2">
        <v>224325</v>
      </c>
    </row>
    <row r="2654" spans="1:5" x14ac:dyDescent="0.25">
      <c r="A2654" s="4">
        <v>41976.433194444442</v>
      </c>
      <c r="B2654" s="2" t="s">
        <v>2713</v>
      </c>
      <c r="C2654" s="2" t="s">
        <v>18</v>
      </c>
      <c r="D2654" s="2" t="str">
        <f>"9781441182395"</f>
        <v>9781441182395</v>
      </c>
      <c r="E2654" s="2">
        <v>1050478</v>
      </c>
    </row>
    <row r="2655" spans="1:5" x14ac:dyDescent="0.25">
      <c r="A2655" s="4">
        <v>41994.878750000003</v>
      </c>
      <c r="B2655" s="2" t="s">
        <v>2190</v>
      </c>
      <c r="C2655" s="2" t="s">
        <v>2170</v>
      </c>
      <c r="D2655" s="2" t="str">
        <f>"9781848138537"</f>
        <v>9781848138537</v>
      </c>
      <c r="E2655" s="2">
        <v>1160737</v>
      </c>
    </row>
    <row r="2656" spans="1:5" x14ac:dyDescent="0.25">
      <c r="A2656" s="4">
        <v>41911.602118055554</v>
      </c>
      <c r="B2656" s="2" t="s">
        <v>3597</v>
      </c>
      <c r="C2656" s="2" t="s">
        <v>63</v>
      </c>
      <c r="D2656" s="2" t="str">
        <f>"9781400849994"</f>
        <v>9781400849994</v>
      </c>
      <c r="E2656" s="2">
        <v>1568773</v>
      </c>
    </row>
    <row r="2657" spans="1:5" x14ac:dyDescent="0.25">
      <c r="A2657" s="4">
        <v>41930.439884259256</v>
      </c>
      <c r="B2657" s="2" t="s">
        <v>3158</v>
      </c>
      <c r="C2657" s="2" t="s">
        <v>119</v>
      </c>
      <c r="D2657" s="2" t="str">
        <f>"9780520922389"</f>
        <v>9780520922389</v>
      </c>
      <c r="E2657" s="2">
        <v>223580</v>
      </c>
    </row>
    <row r="2658" spans="1:5" x14ac:dyDescent="0.25">
      <c r="A2658" s="4">
        <v>41935.618969907409</v>
      </c>
      <c r="B2658" s="2" t="s">
        <v>3020</v>
      </c>
      <c r="C2658" s="2" t="s">
        <v>70</v>
      </c>
      <c r="D2658" s="2" t="str">
        <f>"9781627053266"</f>
        <v>9781627053266</v>
      </c>
      <c r="E2658" s="2">
        <v>1585296</v>
      </c>
    </row>
    <row r="2659" spans="1:5" x14ac:dyDescent="0.25">
      <c r="A2659" s="4">
        <v>41900.839375000003</v>
      </c>
      <c r="B2659" s="2" t="s">
        <v>3825</v>
      </c>
      <c r="C2659" s="2" t="s">
        <v>2283</v>
      </c>
      <c r="D2659" s="2" t="str">
        <f>"9789027290847"</f>
        <v>9789027290847</v>
      </c>
      <c r="E2659" s="2">
        <v>623063</v>
      </c>
    </row>
    <row r="2660" spans="1:5" x14ac:dyDescent="0.25">
      <c r="A2660" s="4">
        <v>41994.896122685182</v>
      </c>
      <c r="B2660" s="2" t="s">
        <v>1557</v>
      </c>
      <c r="C2660" s="2" t="s">
        <v>28</v>
      </c>
      <c r="D2660" s="2" t="str">
        <f>"9780253005304"</f>
        <v>9780253005304</v>
      </c>
      <c r="E2660" s="2">
        <v>670287</v>
      </c>
    </row>
    <row r="2661" spans="1:5" x14ac:dyDescent="0.25">
      <c r="A2661" s="4">
        <v>41929.243784722225</v>
      </c>
      <c r="B2661" s="2" t="s">
        <v>3179</v>
      </c>
      <c r="C2661" s="2" t="s">
        <v>36</v>
      </c>
      <c r="D2661" s="2" t="str">
        <f>"9780786487318"</f>
        <v>9780786487318</v>
      </c>
      <c r="E2661" s="2">
        <v>787967</v>
      </c>
    </row>
    <row r="2662" spans="1:5" x14ac:dyDescent="0.25">
      <c r="A2662" s="4">
        <v>41994.901990740742</v>
      </c>
      <c r="B2662" s="2" t="s">
        <v>742</v>
      </c>
      <c r="C2662" s="2" t="s">
        <v>119</v>
      </c>
      <c r="D2662" s="2" t="str">
        <f>"9780520953475"</f>
        <v>9780520953475</v>
      </c>
      <c r="E2662" s="2">
        <v>1033729</v>
      </c>
    </row>
    <row r="2663" spans="1:5" x14ac:dyDescent="0.25">
      <c r="A2663" s="4">
        <v>41994.905578703707</v>
      </c>
      <c r="B2663" s="2" t="s">
        <v>594</v>
      </c>
      <c r="C2663" s="2" t="s">
        <v>96</v>
      </c>
      <c r="D2663" s="2" t="str">
        <f>"9780807895818"</f>
        <v>9780807895818</v>
      </c>
      <c r="E2663" s="2">
        <v>565696</v>
      </c>
    </row>
    <row r="2664" spans="1:5" x14ac:dyDescent="0.25">
      <c r="A2664" s="4">
        <v>41994.885023148148</v>
      </c>
      <c r="B2664" s="2" t="s">
        <v>2031</v>
      </c>
      <c r="C2664" s="2" t="s">
        <v>18</v>
      </c>
      <c r="D2664" s="2" t="str">
        <f>"9781780933436"</f>
        <v>9781780933436</v>
      </c>
      <c r="E2664" s="2">
        <v>1158307</v>
      </c>
    </row>
    <row r="2665" spans="1:5" x14ac:dyDescent="0.25">
      <c r="A2665" s="4">
        <v>41994.901967592596</v>
      </c>
      <c r="B2665" s="2" t="s">
        <v>836</v>
      </c>
      <c r="C2665" s="2" t="s">
        <v>119</v>
      </c>
      <c r="D2665" s="2" t="str">
        <f>"9780520943315"</f>
        <v>9780520943315</v>
      </c>
      <c r="E2665" s="2">
        <v>804874</v>
      </c>
    </row>
    <row r="2666" spans="1:5" x14ac:dyDescent="0.25">
      <c r="A2666" s="4">
        <v>41994.896087962959</v>
      </c>
      <c r="B2666" s="2" t="s">
        <v>1613</v>
      </c>
      <c r="C2666" s="2" t="s">
        <v>28</v>
      </c>
      <c r="D2666" s="2" t="str">
        <f>"9780253110817"</f>
        <v>9780253110817</v>
      </c>
      <c r="E2666" s="2">
        <v>239661</v>
      </c>
    </row>
    <row r="2667" spans="1:5" x14ac:dyDescent="0.25">
      <c r="A2667" s="4">
        <v>41975.561574074076</v>
      </c>
      <c r="B2667" s="2" t="s">
        <v>2829</v>
      </c>
      <c r="C2667" s="2" t="s">
        <v>36</v>
      </c>
      <c r="D2667" s="2" t="str">
        <f>"9780786487004"</f>
        <v>9780786487004</v>
      </c>
      <c r="E2667" s="2">
        <v>787965</v>
      </c>
    </row>
    <row r="2668" spans="1:5" x14ac:dyDescent="0.25">
      <c r="A2668" s="4">
        <v>41921.455590277779</v>
      </c>
      <c r="B2668" s="2" t="s">
        <v>3345</v>
      </c>
      <c r="C2668" s="2" t="s">
        <v>5</v>
      </c>
      <c r="D2668" s="2" t="str">
        <f>"9780857002273"</f>
        <v>9780857002273</v>
      </c>
      <c r="E2668" s="2">
        <v>679270</v>
      </c>
    </row>
    <row r="2669" spans="1:5" x14ac:dyDescent="0.25">
      <c r="A2669" s="4">
        <v>41994.905613425923</v>
      </c>
      <c r="B2669" s="2" t="s">
        <v>499</v>
      </c>
      <c r="C2669" s="2" t="s">
        <v>424</v>
      </c>
      <c r="D2669" s="2" t="str">
        <f>"9780807869048"</f>
        <v>9780807869048</v>
      </c>
      <c r="E2669" s="2">
        <v>987053</v>
      </c>
    </row>
    <row r="2670" spans="1:5" x14ac:dyDescent="0.25">
      <c r="A2670" s="4">
        <v>41994.905636574076</v>
      </c>
      <c r="B2670" s="2" t="s">
        <v>442</v>
      </c>
      <c r="C2670" s="2" t="s">
        <v>96</v>
      </c>
      <c r="D2670" s="2" t="str">
        <f>"9781469608259"</f>
        <v>9781469608259</v>
      </c>
      <c r="E2670" s="2">
        <v>1663543</v>
      </c>
    </row>
    <row r="2671" spans="1:5" x14ac:dyDescent="0.25">
      <c r="A2671" s="4">
        <v>41994.901979166665</v>
      </c>
      <c r="B2671" s="2" t="s">
        <v>788</v>
      </c>
      <c r="C2671" s="2" t="s">
        <v>119</v>
      </c>
      <c r="D2671" s="2" t="str">
        <f>"9780520951952"</f>
        <v>9780520951952</v>
      </c>
      <c r="E2671" s="2">
        <v>870024</v>
      </c>
    </row>
    <row r="2672" spans="1:5" x14ac:dyDescent="0.25">
      <c r="A2672" s="4">
        <v>41982.896631944444</v>
      </c>
      <c r="B2672" s="2" t="s">
        <v>2422</v>
      </c>
      <c r="C2672" s="2" t="s">
        <v>36</v>
      </c>
      <c r="D2672" s="2" t="str">
        <f>"9780786486045"</f>
        <v>9780786486045</v>
      </c>
      <c r="E2672" s="2">
        <v>679291</v>
      </c>
    </row>
    <row r="2673" spans="1:5" x14ac:dyDescent="0.25">
      <c r="A2673" s="4">
        <v>41994.901990740742</v>
      </c>
      <c r="B2673" s="2" t="s">
        <v>741</v>
      </c>
      <c r="C2673" s="2" t="s">
        <v>119</v>
      </c>
      <c r="D2673" s="2" t="str">
        <f>"9780520953628"</f>
        <v>9780520953628</v>
      </c>
      <c r="E2673" s="2">
        <v>1043709</v>
      </c>
    </row>
    <row r="2674" spans="1:5" x14ac:dyDescent="0.25">
      <c r="A2674" s="4">
        <v>41911.277604166666</v>
      </c>
      <c r="B2674" s="2" t="s">
        <v>3608</v>
      </c>
      <c r="C2674" s="2" t="s">
        <v>26</v>
      </c>
      <c r="D2674" s="2" t="str">
        <f>"9780470223741"</f>
        <v>9780470223741</v>
      </c>
      <c r="E2674" s="2">
        <v>315196</v>
      </c>
    </row>
    <row r="2675" spans="1:5" x14ac:dyDescent="0.25">
      <c r="A2675" s="4">
        <v>41994.889872685184</v>
      </c>
      <c r="B2675" s="2" t="s">
        <v>1897</v>
      </c>
      <c r="C2675" s="2" t="s">
        <v>72</v>
      </c>
      <c r="D2675" s="2" t="str">
        <f>"9780748629053"</f>
        <v>9780748629053</v>
      </c>
      <c r="E2675" s="2">
        <v>564506</v>
      </c>
    </row>
    <row r="2676" spans="1:5" x14ac:dyDescent="0.25">
      <c r="A2676" s="4">
        <v>41994.902013888888</v>
      </c>
      <c r="B2676" s="2" t="s">
        <v>668</v>
      </c>
      <c r="C2676" s="2" t="s">
        <v>119</v>
      </c>
      <c r="D2676" s="2" t="str">
        <f>"9780520958005"</f>
        <v>9780520958005</v>
      </c>
      <c r="E2676" s="2">
        <v>1650801</v>
      </c>
    </row>
    <row r="2677" spans="1:5" x14ac:dyDescent="0.25">
      <c r="A2677" s="4">
        <v>41994.889918981484</v>
      </c>
      <c r="B2677" s="2" t="s">
        <v>1834</v>
      </c>
      <c r="C2677" s="2" t="s">
        <v>72</v>
      </c>
      <c r="D2677" s="2" t="str">
        <f>"9780748678747"</f>
        <v>9780748678747</v>
      </c>
      <c r="E2677" s="2">
        <v>1126590</v>
      </c>
    </row>
    <row r="2678" spans="1:5" x14ac:dyDescent="0.25">
      <c r="A2678" s="4">
        <v>41994.889872685184</v>
      </c>
      <c r="B2678" s="2" t="s">
        <v>1896</v>
      </c>
      <c r="C2678" s="2" t="s">
        <v>72</v>
      </c>
      <c r="D2678" s="2" t="str">
        <f>"9780748642304"</f>
        <v>9780748642304</v>
      </c>
      <c r="E2678" s="2">
        <v>564509</v>
      </c>
    </row>
    <row r="2679" spans="1:5" x14ac:dyDescent="0.25">
      <c r="A2679" s="4">
        <v>41918.360381944447</v>
      </c>
      <c r="B2679" s="2" t="s">
        <v>3444</v>
      </c>
      <c r="C2679" s="2" t="s">
        <v>119</v>
      </c>
      <c r="D2679" s="2" t="str">
        <f>"9780520957800"</f>
        <v>9780520957800</v>
      </c>
      <c r="E2679" s="2">
        <v>1656072</v>
      </c>
    </row>
    <row r="2680" spans="1:5" x14ac:dyDescent="0.25">
      <c r="A2680" s="4">
        <v>41976.600057870368</v>
      </c>
      <c r="B2680" s="2" t="s">
        <v>2666</v>
      </c>
      <c r="C2680" s="2" t="s">
        <v>72</v>
      </c>
      <c r="D2680" s="2" t="str">
        <f>"9780748629923"</f>
        <v>9780748629923</v>
      </c>
      <c r="E2680" s="2">
        <v>364827</v>
      </c>
    </row>
    <row r="2681" spans="1:5" x14ac:dyDescent="0.25">
      <c r="A2681" s="4">
        <v>41976.601921296293</v>
      </c>
      <c r="B2681" s="2" t="s">
        <v>2665</v>
      </c>
      <c r="C2681" s="2" t="s">
        <v>18</v>
      </c>
      <c r="D2681" s="2" t="str">
        <f>"9781441162236"</f>
        <v>9781441162236</v>
      </c>
      <c r="E2681" s="2">
        <v>587887</v>
      </c>
    </row>
    <row r="2682" spans="1:5" x14ac:dyDescent="0.25">
      <c r="A2682" s="4">
        <v>41912.87158564815</v>
      </c>
      <c r="B2682" s="2" t="s">
        <v>3549</v>
      </c>
      <c r="C2682" s="2" t="s">
        <v>1934</v>
      </c>
      <c r="D2682" s="2" t="str">
        <f>"9781408151983"</f>
        <v>9781408151983</v>
      </c>
      <c r="E2682" s="2">
        <v>1507615</v>
      </c>
    </row>
    <row r="2683" spans="1:5" x14ac:dyDescent="0.25">
      <c r="A2683" s="4">
        <v>41994.885046296295</v>
      </c>
      <c r="B2683" s="2" t="s">
        <v>1977</v>
      </c>
      <c r="C2683" s="2" t="s">
        <v>18</v>
      </c>
      <c r="D2683" s="2" t="str">
        <f>"9781472539441"</f>
        <v>9781472539441</v>
      </c>
      <c r="E2683" s="2">
        <v>1572192</v>
      </c>
    </row>
    <row r="2684" spans="1:5" x14ac:dyDescent="0.25">
      <c r="A2684" s="4">
        <v>41994.901909722219</v>
      </c>
      <c r="B2684" s="2" t="s">
        <v>998</v>
      </c>
      <c r="C2684" s="2" t="s">
        <v>119</v>
      </c>
      <c r="D2684" s="2" t="str">
        <f>"9780520908994"</f>
        <v>9780520908994</v>
      </c>
      <c r="E2684" s="2">
        <v>224369</v>
      </c>
    </row>
    <row r="2685" spans="1:5" x14ac:dyDescent="0.25">
      <c r="A2685" s="4">
        <v>41914.802951388891</v>
      </c>
      <c r="B2685" s="2" t="s">
        <v>3507</v>
      </c>
      <c r="C2685" s="2" t="s">
        <v>72</v>
      </c>
      <c r="D2685" s="2" t="str">
        <f>"9780748681617"</f>
        <v>9780748681617</v>
      </c>
      <c r="E2685" s="2">
        <v>1173640</v>
      </c>
    </row>
    <row r="2686" spans="1:5" x14ac:dyDescent="0.25">
      <c r="A2686" s="4">
        <v>41905.392997685187</v>
      </c>
      <c r="B2686" s="2" t="s">
        <v>3750</v>
      </c>
      <c r="C2686" s="2" t="s">
        <v>63</v>
      </c>
      <c r="D2686" s="2" t="str">
        <f>"9781400839520"</f>
        <v>9781400839520</v>
      </c>
      <c r="E2686" s="2">
        <v>787346</v>
      </c>
    </row>
    <row r="2687" spans="1:5" x14ac:dyDescent="0.25">
      <c r="A2687" s="4">
        <v>41975.455428240741</v>
      </c>
      <c r="B2687" s="2" t="s">
        <v>2849</v>
      </c>
      <c r="C2687" s="2" t="s">
        <v>5</v>
      </c>
      <c r="D2687" s="2" t="str">
        <f>"9781846420900"</f>
        <v>9781846420900</v>
      </c>
      <c r="E2687" s="2">
        <v>290639</v>
      </c>
    </row>
    <row r="2688" spans="1:5" x14ac:dyDescent="0.25">
      <c r="A2688" s="4">
        <v>41934.059652777774</v>
      </c>
      <c r="B2688" s="2" t="s">
        <v>3073</v>
      </c>
      <c r="C2688" s="2" t="s">
        <v>63</v>
      </c>
      <c r="D2688" s="2" t="str">
        <f>"9781400842407"</f>
        <v>9781400842407</v>
      </c>
      <c r="E2688" s="2">
        <v>869207</v>
      </c>
    </row>
    <row r="2689" spans="1:5" x14ac:dyDescent="0.25">
      <c r="A2689" s="4">
        <v>41994.884976851848</v>
      </c>
      <c r="B2689" s="2" t="s">
        <v>2153</v>
      </c>
      <c r="C2689" s="2" t="s">
        <v>18</v>
      </c>
      <c r="D2689" s="2" t="str">
        <f>"9781847143198"</f>
        <v>9781847143198</v>
      </c>
      <c r="E2689" s="2">
        <v>436912</v>
      </c>
    </row>
    <row r="2690" spans="1:5" x14ac:dyDescent="0.25">
      <c r="A2690" s="4">
        <v>41994.901967592596</v>
      </c>
      <c r="B2690" s="2" t="s">
        <v>821</v>
      </c>
      <c r="C2690" s="2" t="s">
        <v>119</v>
      </c>
      <c r="D2690" s="2" t="str">
        <f>"9780520946163"</f>
        <v>9780520946163</v>
      </c>
      <c r="E2690" s="2">
        <v>837215</v>
      </c>
    </row>
    <row r="2691" spans="1:5" x14ac:dyDescent="0.25">
      <c r="A2691" s="4">
        <v>41977.751168981478</v>
      </c>
      <c r="B2691" s="2" t="s">
        <v>2592</v>
      </c>
      <c r="C2691" s="2" t="s">
        <v>7</v>
      </c>
      <c r="D2691" s="2" t="str">
        <f>"9781412957724"</f>
        <v>9781412957724</v>
      </c>
      <c r="E2691" s="2">
        <v>1077628</v>
      </c>
    </row>
    <row r="2692" spans="1:5" x14ac:dyDescent="0.25">
      <c r="A2692" s="4">
        <v>41994.892928240741</v>
      </c>
      <c r="B2692" s="2" t="s">
        <v>1690</v>
      </c>
      <c r="C2692" s="2" t="s">
        <v>16</v>
      </c>
      <c r="D2692" s="2" t="str">
        <f>"9781462503575"</f>
        <v>9781462503575</v>
      </c>
      <c r="E2692" s="2">
        <v>873352</v>
      </c>
    </row>
    <row r="2693" spans="1:5" x14ac:dyDescent="0.25">
      <c r="A2693" s="4">
        <v>41974.365578703706</v>
      </c>
      <c r="B2693" s="2" t="s">
        <v>2991</v>
      </c>
      <c r="C2693" s="2" t="s">
        <v>16</v>
      </c>
      <c r="D2693" s="2" t="str">
        <f>"9781462509164"</f>
        <v>9781462509164</v>
      </c>
      <c r="E2693" s="2">
        <v>1112330</v>
      </c>
    </row>
    <row r="2694" spans="1:5" x14ac:dyDescent="0.25">
      <c r="A2694" s="4">
        <v>41994.892928240741</v>
      </c>
      <c r="B2694" s="2" t="s">
        <v>1685</v>
      </c>
      <c r="C2694" s="2" t="s">
        <v>16</v>
      </c>
      <c r="D2694" s="2" t="str">
        <f>"9781462503599"</f>
        <v>9781462503599</v>
      </c>
      <c r="E2694" s="2">
        <v>886776</v>
      </c>
    </row>
    <row r="2695" spans="1:5" x14ac:dyDescent="0.25">
      <c r="A2695" s="4">
        <v>41994.892939814818</v>
      </c>
      <c r="B2695" s="2" t="s">
        <v>1666</v>
      </c>
      <c r="C2695" s="2" t="s">
        <v>16</v>
      </c>
      <c r="D2695" s="2" t="str">
        <f>"9781462508587"</f>
        <v>9781462508587</v>
      </c>
      <c r="E2695" s="2">
        <v>1112331</v>
      </c>
    </row>
    <row r="2696" spans="1:5" x14ac:dyDescent="0.25">
      <c r="A2696" s="4">
        <v>41903.68041666667</v>
      </c>
      <c r="B2696" s="2" t="s">
        <v>3793</v>
      </c>
      <c r="C2696" s="2" t="s">
        <v>119</v>
      </c>
      <c r="D2696" s="2" t="str">
        <f>"9780520928251"</f>
        <v>9780520928251</v>
      </c>
      <c r="E2696" s="2">
        <v>224371</v>
      </c>
    </row>
    <row r="2697" spans="1:5" x14ac:dyDescent="0.25">
      <c r="A2697" s="4">
        <v>41994.899143518516</v>
      </c>
      <c r="B2697" s="2" t="s">
        <v>1096</v>
      </c>
      <c r="C2697" s="2" t="s">
        <v>63</v>
      </c>
      <c r="D2697" s="2" t="str">
        <f>"9781400850181"</f>
        <v>9781400850181</v>
      </c>
      <c r="E2697" s="2">
        <v>1584938</v>
      </c>
    </row>
    <row r="2698" spans="1:5" x14ac:dyDescent="0.25">
      <c r="A2698" s="4">
        <v>41994.899131944447</v>
      </c>
      <c r="B2698" s="2" t="s">
        <v>1126</v>
      </c>
      <c r="C2698" s="2" t="s">
        <v>63</v>
      </c>
      <c r="D2698" s="2" t="str">
        <f>"9781400848447"</f>
        <v>9781400848447</v>
      </c>
      <c r="E2698" s="2">
        <v>1458376</v>
      </c>
    </row>
    <row r="2699" spans="1:5" x14ac:dyDescent="0.25">
      <c r="A2699" s="4">
        <v>41994.908159722225</v>
      </c>
      <c r="B2699" s="2" t="s">
        <v>404</v>
      </c>
      <c r="C2699" s="2" t="s">
        <v>160</v>
      </c>
      <c r="D2699" s="2" t="str">
        <f>"9780471677758"</f>
        <v>9780471677758</v>
      </c>
      <c r="E2699" s="2">
        <v>231716</v>
      </c>
    </row>
    <row r="2700" spans="1:5" x14ac:dyDescent="0.25">
      <c r="A2700" s="4">
        <v>41994.896134259259</v>
      </c>
      <c r="B2700" s="2" t="s">
        <v>1520</v>
      </c>
      <c r="C2700" s="2" t="s">
        <v>28</v>
      </c>
      <c r="D2700" s="2" t="str">
        <f>"9780253001849"</f>
        <v>9780253001849</v>
      </c>
      <c r="E2700" s="2">
        <v>816836</v>
      </c>
    </row>
    <row r="2701" spans="1:5" x14ac:dyDescent="0.25">
      <c r="A2701" s="4">
        <v>41933.325011574074</v>
      </c>
      <c r="B2701" s="2" t="s">
        <v>3102</v>
      </c>
      <c r="C2701" s="2" t="s">
        <v>72</v>
      </c>
      <c r="D2701" s="2" t="str">
        <f>"9780748644599"</f>
        <v>9780748644599</v>
      </c>
      <c r="E2701" s="2">
        <v>1126600</v>
      </c>
    </row>
    <row r="2702" spans="1:5" x14ac:dyDescent="0.25">
      <c r="A2702" s="4">
        <v>41994.89607638889</v>
      </c>
      <c r="B2702" s="2" t="s">
        <v>1620</v>
      </c>
      <c r="C2702" s="2" t="s">
        <v>28</v>
      </c>
      <c r="D2702" s="2" t="str">
        <f>"9780253108890"</f>
        <v>9780253108890</v>
      </c>
      <c r="E2702" s="2">
        <v>127720</v>
      </c>
    </row>
    <row r="2703" spans="1:5" x14ac:dyDescent="0.25">
      <c r="A2703" s="4">
        <v>41994.896087962959</v>
      </c>
      <c r="B2703" s="2" t="s">
        <v>1601</v>
      </c>
      <c r="C2703" s="2" t="s">
        <v>28</v>
      </c>
      <c r="D2703" s="2" t="str">
        <f>"9780253116703"</f>
        <v>9780253116703</v>
      </c>
      <c r="E2703" s="2">
        <v>319213</v>
      </c>
    </row>
    <row r="2704" spans="1:5" x14ac:dyDescent="0.25">
      <c r="A2704" s="4">
        <v>41994.902002314811</v>
      </c>
      <c r="B2704" s="2" t="s">
        <v>716</v>
      </c>
      <c r="C2704" s="2" t="s">
        <v>119</v>
      </c>
      <c r="D2704" s="2" t="str">
        <f>"9780520954755"</f>
        <v>9780520954755</v>
      </c>
      <c r="E2704" s="2">
        <v>1153820</v>
      </c>
    </row>
    <row r="2705" spans="1:5" x14ac:dyDescent="0.25">
      <c r="A2705" s="4">
        <v>41994.901944444442</v>
      </c>
      <c r="B2705" s="2" t="s">
        <v>915</v>
      </c>
      <c r="C2705" s="2" t="s">
        <v>119</v>
      </c>
      <c r="D2705" s="2" t="str">
        <f>"9780520946309"</f>
        <v>9780520946309</v>
      </c>
      <c r="E2705" s="2">
        <v>566760</v>
      </c>
    </row>
    <row r="2706" spans="1:5" x14ac:dyDescent="0.25">
      <c r="A2706" s="4">
        <v>41898.612662037034</v>
      </c>
      <c r="B2706" s="2" t="s">
        <v>3863</v>
      </c>
      <c r="C2706" s="2" t="s">
        <v>26</v>
      </c>
      <c r="D2706" s="2" t="str">
        <f>"9780471750925"</f>
        <v>9780471750925</v>
      </c>
      <c r="E2706" s="2">
        <v>261001</v>
      </c>
    </row>
    <row r="2707" spans="1:5" x14ac:dyDescent="0.25">
      <c r="A2707" s="4">
        <v>41994.896134259259</v>
      </c>
      <c r="B2707" s="2" t="s">
        <v>1521</v>
      </c>
      <c r="C2707" s="2" t="s">
        <v>28</v>
      </c>
      <c r="D2707" s="2" t="str">
        <f>"9780253001313"</f>
        <v>9780253001313</v>
      </c>
      <c r="E2707" s="2">
        <v>816834</v>
      </c>
    </row>
    <row r="2708" spans="1:5" x14ac:dyDescent="0.25">
      <c r="A2708" s="4">
        <v>41994.902013888888</v>
      </c>
      <c r="B2708" s="2" t="s">
        <v>679</v>
      </c>
      <c r="C2708" s="2" t="s">
        <v>119</v>
      </c>
      <c r="D2708" s="2" t="str">
        <f>"9780520958364"</f>
        <v>9780520958364</v>
      </c>
      <c r="E2708" s="2">
        <v>1589126</v>
      </c>
    </row>
    <row r="2709" spans="1:5" x14ac:dyDescent="0.25">
      <c r="A2709" s="4">
        <v>41994.885000000002</v>
      </c>
      <c r="B2709" s="2" t="s">
        <v>2098</v>
      </c>
      <c r="C2709" s="2" t="s">
        <v>18</v>
      </c>
      <c r="D2709" s="2" t="str">
        <f>"9781441181794"</f>
        <v>9781441181794</v>
      </c>
      <c r="E2709" s="2">
        <v>711044</v>
      </c>
    </row>
    <row r="2710" spans="1:5" x14ac:dyDescent="0.25">
      <c r="A2710" s="4">
        <v>41994.885046296295</v>
      </c>
      <c r="B2710" s="2" t="s">
        <v>1979</v>
      </c>
      <c r="C2710" s="2" t="s">
        <v>18</v>
      </c>
      <c r="D2710" s="2" t="str">
        <f>"9780567345172"</f>
        <v>9780567345172</v>
      </c>
      <c r="E2710" s="2">
        <v>1569356</v>
      </c>
    </row>
    <row r="2711" spans="1:5" x14ac:dyDescent="0.25">
      <c r="A2711" s="4">
        <v>41994.901956018519</v>
      </c>
      <c r="B2711" s="2" t="s">
        <v>869</v>
      </c>
      <c r="C2711" s="2" t="s">
        <v>119</v>
      </c>
      <c r="D2711" s="2" t="str">
        <f>"9780520948877"</f>
        <v>9780520948877</v>
      </c>
      <c r="E2711" s="2">
        <v>685417</v>
      </c>
    </row>
    <row r="2712" spans="1:5" x14ac:dyDescent="0.25">
      <c r="A2712" s="4">
        <v>41994.905578703707</v>
      </c>
      <c r="B2712" s="2" t="s">
        <v>589</v>
      </c>
      <c r="C2712" s="2" t="s">
        <v>96</v>
      </c>
      <c r="D2712" s="2" t="str">
        <f>"9780807899502"</f>
        <v>9780807899502</v>
      </c>
      <c r="E2712" s="2">
        <v>605912</v>
      </c>
    </row>
    <row r="2713" spans="1:5" x14ac:dyDescent="0.25">
      <c r="A2713" s="4">
        <v>41921.535601851851</v>
      </c>
      <c r="B2713" s="2" t="s">
        <v>3343</v>
      </c>
      <c r="C2713" s="2" t="s">
        <v>36</v>
      </c>
      <c r="D2713" s="2" t="str">
        <f>"9780786484782"</f>
        <v>9780786484782</v>
      </c>
      <c r="E2713" s="2">
        <v>665218</v>
      </c>
    </row>
    <row r="2714" spans="1:5" x14ac:dyDescent="0.25">
      <c r="A2714" s="4">
        <v>41994.885034722225</v>
      </c>
      <c r="B2714" s="2" t="s">
        <v>2015</v>
      </c>
      <c r="C2714" s="2" t="s">
        <v>18</v>
      </c>
      <c r="D2714" s="2" t="str">
        <f>"9781441120212"</f>
        <v>9781441120212</v>
      </c>
      <c r="E2714" s="2">
        <v>1220349</v>
      </c>
    </row>
    <row r="2715" spans="1:5" x14ac:dyDescent="0.25">
      <c r="A2715" s="4">
        <v>41994.896168981482</v>
      </c>
      <c r="B2715" s="2" t="s">
        <v>1469</v>
      </c>
      <c r="C2715" s="2" t="s">
        <v>28</v>
      </c>
      <c r="D2715" s="2" t="str">
        <f>"9780253010902"</f>
        <v>9780253010902</v>
      </c>
      <c r="E2715" s="2">
        <v>1375694</v>
      </c>
    </row>
    <row r="2716" spans="1:5" x14ac:dyDescent="0.25">
      <c r="A2716" s="4">
        <v>41994.902013888888</v>
      </c>
      <c r="B2716" s="2" t="s">
        <v>665</v>
      </c>
      <c r="C2716" s="2" t="s">
        <v>119</v>
      </c>
      <c r="D2716" s="2" t="str">
        <f>"9780520957923"</f>
        <v>9780520957923</v>
      </c>
      <c r="E2716" s="2">
        <v>1666291</v>
      </c>
    </row>
    <row r="2717" spans="1:5" x14ac:dyDescent="0.25">
      <c r="A2717" s="4">
        <v>41994.901990740742</v>
      </c>
      <c r="B2717" s="2" t="s">
        <v>751</v>
      </c>
      <c r="C2717" s="2" t="s">
        <v>119</v>
      </c>
      <c r="D2717" s="2" t="str">
        <f>"9780520954076"</f>
        <v>9780520954076</v>
      </c>
      <c r="E2717" s="2">
        <v>996185</v>
      </c>
    </row>
    <row r="2718" spans="1:5" x14ac:dyDescent="0.25">
      <c r="A2718" s="4">
        <v>41994.899062500001</v>
      </c>
      <c r="B2718" s="2" t="s">
        <v>1383</v>
      </c>
      <c r="C2718" s="2" t="s">
        <v>63</v>
      </c>
      <c r="D2718" s="2" t="str">
        <f>"9781400830442"</f>
        <v>9781400830442</v>
      </c>
      <c r="E2718" s="2">
        <v>534067</v>
      </c>
    </row>
    <row r="2719" spans="1:5" x14ac:dyDescent="0.25">
      <c r="A2719" s="4">
        <v>41994.908217592594</v>
      </c>
      <c r="B2719" s="2" t="s">
        <v>254</v>
      </c>
      <c r="C2719" s="2" t="s">
        <v>26</v>
      </c>
      <c r="D2719" s="2" t="str">
        <f>"9781118106488"</f>
        <v>9781118106488</v>
      </c>
      <c r="E2719" s="2">
        <v>697637</v>
      </c>
    </row>
    <row r="2720" spans="1:5" x14ac:dyDescent="0.25">
      <c r="A2720" s="4">
        <v>41994.896180555559</v>
      </c>
      <c r="B2720" s="2" t="s">
        <v>1436</v>
      </c>
      <c r="C2720" s="2" t="s">
        <v>28</v>
      </c>
      <c r="D2720" s="2" t="str">
        <f>"9780253014894"</f>
        <v>9780253014894</v>
      </c>
      <c r="E2720" s="2">
        <v>1822936</v>
      </c>
    </row>
    <row r="2721" spans="1:5" x14ac:dyDescent="0.25">
      <c r="A2721" s="4">
        <v>41921.533460648148</v>
      </c>
      <c r="B2721" s="2" t="s">
        <v>3344</v>
      </c>
      <c r="C2721" s="2" t="s">
        <v>7</v>
      </c>
      <c r="D2721" s="2" t="str">
        <f>"9781446209486"</f>
        <v>9781446209486</v>
      </c>
      <c r="E2721" s="2">
        <v>689464</v>
      </c>
    </row>
    <row r="2722" spans="1:5" x14ac:dyDescent="0.25">
      <c r="A2722" s="4">
        <v>41994.885034722225</v>
      </c>
      <c r="B2722" s="2" t="s">
        <v>2006</v>
      </c>
      <c r="C2722" s="2" t="s">
        <v>18</v>
      </c>
      <c r="D2722" s="2" t="str">
        <f>"9781472539335"</f>
        <v>9781472539335</v>
      </c>
      <c r="E2722" s="2">
        <v>1334361</v>
      </c>
    </row>
    <row r="2723" spans="1:5" x14ac:dyDescent="0.25">
      <c r="A2723" s="4">
        <v>41976.394270833334</v>
      </c>
      <c r="B2723" s="2" t="s">
        <v>2720</v>
      </c>
      <c r="C2723" s="2" t="s">
        <v>63</v>
      </c>
      <c r="D2723" s="2" t="str">
        <f>"9781400841486"</f>
        <v>9781400841486</v>
      </c>
      <c r="E2723" s="2">
        <v>803581</v>
      </c>
    </row>
    <row r="2724" spans="1:5" x14ac:dyDescent="0.25">
      <c r="A2724" s="4">
        <v>41994.892928240741</v>
      </c>
      <c r="B2724" s="2" t="s">
        <v>1697</v>
      </c>
      <c r="C2724" s="2" t="s">
        <v>16</v>
      </c>
      <c r="D2724" s="2" t="str">
        <f>"9781609187538"</f>
        <v>9781609187538</v>
      </c>
      <c r="E2724" s="2">
        <v>829312</v>
      </c>
    </row>
    <row r="2725" spans="1:5" x14ac:dyDescent="0.25">
      <c r="A2725" s="4">
        <v>41994.908148148148</v>
      </c>
      <c r="B2725" s="2" t="s">
        <v>417</v>
      </c>
      <c r="C2725" s="2" t="s">
        <v>26</v>
      </c>
      <c r="D2725" s="2" t="str">
        <f>"9780471271123"</f>
        <v>9780471271123</v>
      </c>
      <c r="E2725" s="2">
        <v>139921</v>
      </c>
    </row>
    <row r="2726" spans="1:5" x14ac:dyDescent="0.25">
      <c r="A2726" s="4">
        <v>41994.892893518518</v>
      </c>
      <c r="B2726" s="2" t="s">
        <v>1770</v>
      </c>
      <c r="C2726" s="2" t="s">
        <v>16</v>
      </c>
      <c r="D2726" s="2" t="str">
        <f>"9781606232026"</f>
        <v>9781606232026</v>
      </c>
      <c r="E2726" s="2">
        <v>362581</v>
      </c>
    </row>
    <row r="2727" spans="1:5" x14ac:dyDescent="0.25">
      <c r="A2727" s="4">
        <v>41989.47556712963</v>
      </c>
      <c r="B2727" s="2" t="s">
        <v>2257</v>
      </c>
      <c r="C2727" s="2" t="s">
        <v>26</v>
      </c>
      <c r="D2727" s="2" t="str">
        <f>"9780470555309"</f>
        <v>9780470555309</v>
      </c>
      <c r="E2727" s="2">
        <v>484855</v>
      </c>
    </row>
    <row r="2728" spans="1:5" x14ac:dyDescent="0.25">
      <c r="A2728" s="4">
        <v>41994.899050925924</v>
      </c>
      <c r="B2728" s="2" t="s">
        <v>1419</v>
      </c>
      <c r="C2728" s="2" t="s">
        <v>63</v>
      </c>
      <c r="D2728" s="2" t="str">
        <f>"9781400830251"</f>
        <v>9781400830251</v>
      </c>
      <c r="E2728" s="2">
        <v>457723</v>
      </c>
    </row>
    <row r="2729" spans="1:5" x14ac:dyDescent="0.25">
      <c r="A2729" s="4">
        <v>41994.902025462965</v>
      </c>
      <c r="B2729" s="2" t="s">
        <v>645</v>
      </c>
      <c r="C2729" s="2" t="s">
        <v>119</v>
      </c>
      <c r="D2729" s="2" t="str">
        <f>"9780520959804"</f>
        <v>9780520959804</v>
      </c>
      <c r="E2729" s="2">
        <v>1711010</v>
      </c>
    </row>
    <row r="2730" spans="1:5" x14ac:dyDescent="0.25">
      <c r="A2730" s="4">
        <v>41975.529317129629</v>
      </c>
      <c r="B2730" s="2" t="s">
        <v>2834</v>
      </c>
      <c r="C2730" s="2" t="s">
        <v>26</v>
      </c>
      <c r="D2730" s="2" t="str">
        <f>"9780470695906"</f>
        <v>9780470695906</v>
      </c>
      <c r="E2730" s="2">
        <v>470780</v>
      </c>
    </row>
    <row r="2731" spans="1:5" x14ac:dyDescent="0.25">
      <c r="A2731" s="4">
        <v>41919.909120370372</v>
      </c>
      <c r="B2731" s="2" t="s">
        <v>3383</v>
      </c>
      <c r="C2731" s="2" t="s">
        <v>26</v>
      </c>
      <c r="D2731" s="2" t="str">
        <f>"9781444317305"</f>
        <v>9781444317305</v>
      </c>
      <c r="E2731" s="2">
        <v>514466</v>
      </c>
    </row>
    <row r="2732" spans="1:5" x14ac:dyDescent="0.25">
      <c r="A2732" s="4">
        <v>41935.562511574077</v>
      </c>
      <c r="B2732" s="2" t="s">
        <v>3028</v>
      </c>
      <c r="C2732" s="2" t="s">
        <v>26</v>
      </c>
      <c r="D2732" s="2" t="str">
        <f>"9783527615544"</f>
        <v>9783527615544</v>
      </c>
      <c r="E2732" s="2">
        <v>482100</v>
      </c>
    </row>
    <row r="2733" spans="1:5" x14ac:dyDescent="0.25">
      <c r="A2733" s="4">
        <v>41994.896111111113</v>
      </c>
      <c r="B2733" s="2" t="s">
        <v>1575</v>
      </c>
      <c r="C2733" s="2" t="s">
        <v>28</v>
      </c>
      <c r="D2733" s="2" t="str">
        <f>"9780253004666"</f>
        <v>9780253004666</v>
      </c>
      <c r="E2733" s="2">
        <v>588792</v>
      </c>
    </row>
    <row r="2734" spans="1:5" x14ac:dyDescent="0.25">
      <c r="A2734" s="4">
        <v>41903.706909722219</v>
      </c>
      <c r="B2734" s="2" t="s">
        <v>3792</v>
      </c>
      <c r="C2734" s="2" t="s">
        <v>26</v>
      </c>
      <c r="D2734" s="2" t="str">
        <f>"9781444327908"</f>
        <v>9781444327908</v>
      </c>
      <c r="E2734" s="2">
        <v>565101</v>
      </c>
    </row>
    <row r="2735" spans="1:5" x14ac:dyDescent="0.25">
      <c r="A2735" s="4">
        <v>41974.66302083333</v>
      </c>
      <c r="B2735" s="2" t="s">
        <v>2936</v>
      </c>
      <c r="C2735" s="2" t="s">
        <v>72</v>
      </c>
      <c r="D2735" s="2" t="str">
        <f>"9780748628704"</f>
        <v>9780748628704</v>
      </c>
      <c r="E2735" s="2">
        <v>299549</v>
      </c>
    </row>
    <row r="2736" spans="1:5" x14ac:dyDescent="0.25">
      <c r="A2736" s="4">
        <v>41986.661539351851</v>
      </c>
      <c r="B2736" s="2" t="s">
        <v>2320</v>
      </c>
      <c r="C2736" s="2" t="s">
        <v>36</v>
      </c>
      <c r="D2736" s="2" t="str">
        <f>"9780786457823"</f>
        <v>9780786457823</v>
      </c>
      <c r="E2736" s="2">
        <v>578786</v>
      </c>
    </row>
    <row r="2737" spans="1:5" x14ac:dyDescent="0.25">
      <c r="A2737" s="4">
        <v>41918.699062500003</v>
      </c>
      <c r="B2737" s="2" t="s">
        <v>3423</v>
      </c>
      <c r="C2737" s="2" t="s">
        <v>18</v>
      </c>
      <c r="D2737" s="2" t="str">
        <f>"9781441119605"</f>
        <v>9781441119605</v>
      </c>
      <c r="E2737" s="2">
        <v>1589532</v>
      </c>
    </row>
    <row r="2738" spans="1:5" x14ac:dyDescent="0.25">
      <c r="A2738" s="4">
        <v>41878.611585648148</v>
      </c>
      <c r="B2738" s="2" t="s">
        <v>3929</v>
      </c>
      <c r="C2738" s="2" t="s">
        <v>72</v>
      </c>
      <c r="D2738" s="2" t="str">
        <f>"9780748635436"</f>
        <v>9780748635436</v>
      </c>
      <c r="E2738" s="2">
        <v>364826</v>
      </c>
    </row>
    <row r="2739" spans="1:5" x14ac:dyDescent="0.25">
      <c r="A2739" s="4">
        <v>41994.88994212963</v>
      </c>
      <c r="B2739" s="2" t="s">
        <v>1801</v>
      </c>
      <c r="C2739" s="2" t="s">
        <v>72</v>
      </c>
      <c r="D2739" s="2" t="str">
        <f>"9780748696390"</f>
        <v>9780748696390</v>
      </c>
      <c r="E2739" s="2">
        <v>1717559</v>
      </c>
    </row>
    <row r="2740" spans="1:5" x14ac:dyDescent="0.25">
      <c r="A2740" s="4">
        <v>41994.889826388891</v>
      </c>
      <c r="B2740" s="2" t="s">
        <v>1923</v>
      </c>
      <c r="C2740" s="2" t="s">
        <v>72</v>
      </c>
      <c r="D2740" s="2" t="str">
        <f>"9780748630110"</f>
        <v>9780748630110</v>
      </c>
      <c r="E2740" s="2">
        <v>334905</v>
      </c>
    </row>
    <row r="2741" spans="1:5" x14ac:dyDescent="0.25">
      <c r="A2741" s="4">
        <v>41994.885000000002</v>
      </c>
      <c r="B2741" s="2" t="s">
        <v>2101</v>
      </c>
      <c r="C2741" s="2" t="s">
        <v>18</v>
      </c>
      <c r="D2741" s="2" t="str">
        <f>"9781408198759"</f>
        <v>9781408198759</v>
      </c>
      <c r="E2741" s="2">
        <v>692120</v>
      </c>
    </row>
    <row r="2742" spans="1:5" x14ac:dyDescent="0.25">
      <c r="A2742" s="4">
        <v>41927.582905092589</v>
      </c>
      <c r="B2742" s="2" t="s">
        <v>3217</v>
      </c>
      <c r="C2742" s="2" t="s">
        <v>18</v>
      </c>
      <c r="D2742" s="2" t="str">
        <f>"9781408198766"</f>
        <v>9781408198766</v>
      </c>
      <c r="E2742" s="2">
        <v>692144</v>
      </c>
    </row>
    <row r="2743" spans="1:5" x14ac:dyDescent="0.25">
      <c r="A2743" s="4">
        <v>41919.617280092592</v>
      </c>
      <c r="B2743" s="2" t="s">
        <v>3391</v>
      </c>
      <c r="C2743" s="2" t="s">
        <v>36</v>
      </c>
      <c r="D2743" s="2" t="str">
        <f>"9781476601656"</f>
        <v>9781476601656</v>
      </c>
      <c r="E2743" s="2">
        <v>1126332</v>
      </c>
    </row>
    <row r="2744" spans="1:5" x14ac:dyDescent="0.25">
      <c r="A2744" s="4">
        <v>41916.470613425925</v>
      </c>
      <c r="B2744" s="2" t="s">
        <v>3478</v>
      </c>
      <c r="C2744" s="2" t="s">
        <v>36</v>
      </c>
      <c r="D2744" s="2" t="str">
        <f>"9780786456130"</f>
        <v>9780786456130</v>
      </c>
      <c r="E2744" s="2">
        <v>510249</v>
      </c>
    </row>
    <row r="2745" spans="1:5" x14ac:dyDescent="0.25">
      <c r="A2745" s="4">
        <v>41994.892951388887</v>
      </c>
      <c r="B2745" s="2" t="s">
        <v>1624</v>
      </c>
      <c r="C2745" s="2" t="s">
        <v>16</v>
      </c>
      <c r="D2745" s="2" t="str">
        <f>"9781462518296"</f>
        <v>9781462518296</v>
      </c>
      <c r="E2745" s="2">
        <v>1760736</v>
      </c>
    </row>
    <row r="2746" spans="1:5" x14ac:dyDescent="0.25">
      <c r="A2746" s="4">
        <v>41994.899074074077</v>
      </c>
      <c r="B2746" s="2" t="s">
        <v>1343</v>
      </c>
      <c r="C2746" s="2" t="s">
        <v>63</v>
      </c>
      <c r="D2746" s="2" t="str">
        <f>"9781400836659"</f>
        <v>9781400836659</v>
      </c>
      <c r="E2746" s="2">
        <v>617260</v>
      </c>
    </row>
    <row r="2747" spans="1:5" x14ac:dyDescent="0.25">
      <c r="A2747" s="4">
        <v>41994.885023148148</v>
      </c>
      <c r="B2747" s="2" t="s">
        <v>2038</v>
      </c>
      <c r="C2747" s="2" t="s">
        <v>74</v>
      </c>
      <c r="D2747" s="2" t="str">
        <f>"9781441165541"</f>
        <v>9781441165541</v>
      </c>
      <c r="E2747" s="2">
        <v>1099526</v>
      </c>
    </row>
    <row r="2748" spans="1:5" x14ac:dyDescent="0.25">
      <c r="A2748" s="4">
        <v>41994.905636574076</v>
      </c>
      <c r="B2748" s="2" t="s">
        <v>433</v>
      </c>
      <c r="C2748" s="2" t="s">
        <v>96</v>
      </c>
      <c r="D2748" s="2" t="str">
        <f>"9781469610825"</f>
        <v>9781469610825</v>
      </c>
      <c r="E2748" s="2">
        <v>1696224</v>
      </c>
    </row>
    <row r="2749" spans="1:5" x14ac:dyDescent="0.25">
      <c r="A2749" s="4">
        <v>41994.901967592596</v>
      </c>
      <c r="B2749" s="2" t="s">
        <v>835</v>
      </c>
      <c r="C2749" s="2" t="s">
        <v>119</v>
      </c>
      <c r="D2749" s="2" t="str">
        <f>"9780520951709"</f>
        <v>9780520951709</v>
      </c>
      <c r="E2749" s="2">
        <v>816151</v>
      </c>
    </row>
    <row r="2750" spans="1:5" x14ac:dyDescent="0.25">
      <c r="A2750" s="4">
        <v>41994.905636574076</v>
      </c>
      <c r="B2750" s="2" t="s">
        <v>427</v>
      </c>
      <c r="C2750" s="2" t="s">
        <v>96</v>
      </c>
      <c r="D2750" s="2" t="str">
        <f>"9781469617305"</f>
        <v>9781469617305</v>
      </c>
      <c r="E2750" s="2">
        <v>1759286</v>
      </c>
    </row>
    <row r="2751" spans="1:5" x14ac:dyDescent="0.25">
      <c r="A2751" s="4">
        <v>41984.817210648151</v>
      </c>
      <c r="B2751" s="2" t="s">
        <v>2349</v>
      </c>
      <c r="C2751" s="2" t="s">
        <v>2283</v>
      </c>
      <c r="D2751" s="2" t="str">
        <f>"9789027282781"</f>
        <v>9789027282781</v>
      </c>
      <c r="E2751" s="2">
        <v>784235</v>
      </c>
    </row>
    <row r="2752" spans="1:5" x14ac:dyDescent="0.25">
      <c r="A2752" s="4">
        <v>41994.901932870373</v>
      </c>
      <c r="B2752" s="2" t="s">
        <v>925</v>
      </c>
      <c r="C2752" s="2" t="s">
        <v>119</v>
      </c>
      <c r="D2752" s="2" t="str">
        <f>"9780520945708"</f>
        <v>9780520945708</v>
      </c>
      <c r="E2752" s="2">
        <v>547580</v>
      </c>
    </row>
    <row r="2753" spans="1:5" x14ac:dyDescent="0.25">
      <c r="A2753" s="4">
        <v>41994.899131944447</v>
      </c>
      <c r="B2753" s="2" t="s">
        <v>1146</v>
      </c>
      <c r="C2753" s="2" t="s">
        <v>63</v>
      </c>
      <c r="D2753" s="2" t="str">
        <f>"9781400848201"</f>
        <v>9781400848201</v>
      </c>
      <c r="E2753" s="2">
        <v>1316756</v>
      </c>
    </row>
    <row r="2754" spans="1:5" x14ac:dyDescent="0.25">
      <c r="A2754" s="4">
        <v>41994.902025462965</v>
      </c>
      <c r="B2754" s="2" t="s">
        <v>639</v>
      </c>
      <c r="C2754" s="2" t="s">
        <v>119</v>
      </c>
      <c r="D2754" s="2" t="str">
        <f>"9780520959309"</f>
        <v>9780520959309</v>
      </c>
      <c r="E2754" s="2">
        <v>1711037</v>
      </c>
    </row>
    <row r="2755" spans="1:5" x14ac:dyDescent="0.25">
      <c r="A2755" s="4">
        <v>41994.90556712963</v>
      </c>
      <c r="B2755" s="2" t="s">
        <v>610</v>
      </c>
      <c r="C2755" s="2" t="s">
        <v>424</v>
      </c>
      <c r="D2755" s="2" t="str">
        <f>"9780807875605"</f>
        <v>9780807875605</v>
      </c>
      <c r="E2755" s="2">
        <v>413438</v>
      </c>
    </row>
    <row r="2756" spans="1:5" x14ac:dyDescent="0.25">
      <c r="A2756" s="4">
        <v>41994.89912037037</v>
      </c>
      <c r="B2756" s="2" t="s">
        <v>1181</v>
      </c>
      <c r="C2756" s="2" t="s">
        <v>63</v>
      </c>
      <c r="D2756" s="2" t="str">
        <f>"9781400846474"</f>
        <v>9781400846474</v>
      </c>
      <c r="E2756" s="2">
        <v>1114883</v>
      </c>
    </row>
    <row r="2757" spans="1:5" x14ac:dyDescent="0.25">
      <c r="A2757" s="4">
        <v>41994.905624999999</v>
      </c>
      <c r="B2757" s="2" t="s">
        <v>448</v>
      </c>
      <c r="C2757" s="2" t="s">
        <v>96</v>
      </c>
      <c r="D2757" s="2" t="str">
        <f>"9781469612522"</f>
        <v>9781469612522</v>
      </c>
      <c r="E2757" s="2">
        <v>1663516</v>
      </c>
    </row>
    <row r="2758" spans="1:5" x14ac:dyDescent="0.25">
      <c r="A2758" s="4">
        <v>41994.885011574072</v>
      </c>
      <c r="B2758" s="2" t="s">
        <v>2082</v>
      </c>
      <c r="C2758" s="2" t="s">
        <v>18</v>
      </c>
      <c r="D2758" s="2" t="str">
        <f>"9781441134752"</f>
        <v>9781441134752</v>
      </c>
      <c r="E2758" s="2">
        <v>743229</v>
      </c>
    </row>
    <row r="2759" spans="1:5" x14ac:dyDescent="0.25">
      <c r="A2759" s="4">
        <v>41989.028506944444</v>
      </c>
      <c r="B2759" s="2" t="s">
        <v>2268</v>
      </c>
      <c r="C2759" s="2" t="s">
        <v>119</v>
      </c>
      <c r="D2759" s="2" t="str">
        <f>"9780520939431"</f>
        <v>9780520939431</v>
      </c>
      <c r="E2759" s="2">
        <v>254884</v>
      </c>
    </row>
    <row r="2760" spans="1:5" x14ac:dyDescent="0.25">
      <c r="A2760" s="4">
        <v>41922.403796296298</v>
      </c>
      <c r="B2760" s="2" t="s">
        <v>3321</v>
      </c>
      <c r="C2760" s="2" t="s">
        <v>16</v>
      </c>
      <c r="D2760" s="2" t="str">
        <f>"9781462516032"</f>
        <v>9781462516032</v>
      </c>
      <c r="E2760" s="2">
        <v>1683360</v>
      </c>
    </row>
    <row r="2761" spans="1:5" x14ac:dyDescent="0.25">
      <c r="A2761" s="4">
        <v>41994.901909722219</v>
      </c>
      <c r="B2761" s="2" t="s">
        <v>1017</v>
      </c>
      <c r="C2761" s="2" t="s">
        <v>119</v>
      </c>
      <c r="D2761" s="2" t="str">
        <f>"9780520937857"</f>
        <v>9780520937857</v>
      </c>
      <c r="E2761" s="2">
        <v>223962</v>
      </c>
    </row>
    <row r="2762" spans="1:5" x14ac:dyDescent="0.25">
      <c r="A2762" s="4">
        <v>41994.90824074074</v>
      </c>
      <c r="B2762" s="2" t="s">
        <v>194</v>
      </c>
      <c r="C2762" s="2" t="s">
        <v>26</v>
      </c>
      <c r="D2762" s="2" t="str">
        <f>"9780857082985"</f>
        <v>9780857082985</v>
      </c>
      <c r="E2762" s="2">
        <v>818419</v>
      </c>
    </row>
    <row r="2763" spans="1:5" x14ac:dyDescent="0.25">
      <c r="A2763" s="4">
        <v>41994.885034722225</v>
      </c>
      <c r="B2763" s="2" t="s">
        <v>1996</v>
      </c>
      <c r="C2763" s="2" t="s">
        <v>18</v>
      </c>
      <c r="D2763" s="2" t="str">
        <f>"9781441108913"</f>
        <v>9781441108913</v>
      </c>
      <c r="E2763" s="2">
        <v>1388990</v>
      </c>
    </row>
    <row r="2764" spans="1:5" x14ac:dyDescent="0.25">
      <c r="A2764" s="4">
        <v>41994.899074074077</v>
      </c>
      <c r="B2764" s="2" t="s">
        <v>1342</v>
      </c>
      <c r="C2764" s="2" t="s">
        <v>63</v>
      </c>
      <c r="D2764" s="2" t="str">
        <f>"9781400822744"</f>
        <v>9781400822744</v>
      </c>
      <c r="E2764" s="2">
        <v>617304</v>
      </c>
    </row>
    <row r="2765" spans="1:5" x14ac:dyDescent="0.25">
      <c r="A2765" s="4">
        <v>41922.594259259262</v>
      </c>
      <c r="B2765" s="2" t="s">
        <v>3316</v>
      </c>
      <c r="C2765" s="2" t="s">
        <v>96</v>
      </c>
      <c r="D2765" s="2" t="str">
        <f>"9780807888971"</f>
        <v>9780807888971</v>
      </c>
      <c r="E2765" s="2">
        <v>880467</v>
      </c>
    </row>
    <row r="2766" spans="1:5" x14ac:dyDescent="0.25">
      <c r="A2766" s="4">
        <v>41994.88989583333</v>
      </c>
      <c r="B2766" s="2" t="s">
        <v>1860</v>
      </c>
      <c r="C2766" s="2" t="s">
        <v>72</v>
      </c>
      <c r="D2766" s="2" t="str">
        <f>"9780748647576"</f>
        <v>9780748647576</v>
      </c>
      <c r="E2766" s="2">
        <v>767127</v>
      </c>
    </row>
    <row r="2767" spans="1:5" x14ac:dyDescent="0.25">
      <c r="A2767" s="4">
        <v>41994.899155092593</v>
      </c>
      <c r="B2767" s="2" t="s">
        <v>1072</v>
      </c>
      <c r="C2767" s="2" t="s">
        <v>63</v>
      </c>
      <c r="D2767" s="2" t="str">
        <f>"9781400850372"</f>
        <v>9781400850372</v>
      </c>
      <c r="E2767" s="2">
        <v>1660476</v>
      </c>
    </row>
    <row r="2768" spans="1:5" x14ac:dyDescent="0.25">
      <c r="A2768" s="4">
        <v>41932.303807870368</v>
      </c>
      <c r="B2768" s="2" t="s">
        <v>3129</v>
      </c>
      <c r="C2768" s="2" t="s">
        <v>63</v>
      </c>
      <c r="D2768" s="2" t="str">
        <f>"9781400840793"</f>
        <v>9781400840793</v>
      </c>
      <c r="E2768" s="2">
        <v>713812</v>
      </c>
    </row>
    <row r="2769" spans="1:5" x14ac:dyDescent="0.25">
      <c r="A2769" s="4">
        <v>41977.603576388887</v>
      </c>
      <c r="B2769" s="2" t="s">
        <v>2603</v>
      </c>
      <c r="C2769" s="2" t="s">
        <v>26</v>
      </c>
      <c r="D2769" s="2" t="str">
        <f>"9781118305850"</f>
        <v>9781118305850</v>
      </c>
      <c r="E2769" s="2">
        <v>819411</v>
      </c>
    </row>
    <row r="2770" spans="1:5" x14ac:dyDescent="0.25">
      <c r="A2770" s="4">
        <v>41994.884976851848</v>
      </c>
      <c r="B2770" s="2" t="s">
        <v>2142</v>
      </c>
      <c r="C2770" s="2" t="s">
        <v>18</v>
      </c>
      <c r="D2770" s="2" t="str">
        <f>"9781441145727"</f>
        <v>9781441145727</v>
      </c>
      <c r="E2770" s="2">
        <v>516729</v>
      </c>
    </row>
    <row r="2771" spans="1:5" x14ac:dyDescent="0.25">
      <c r="A2771" s="4">
        <v>41994.884976851848</v>
      </c>
      <c r="B2771" s="2" t="s">
        <v>2144</v>
      </c>
      <c r="C2771" s="2" t="s">
        <v>18</v>
      </c>
      <c r="D2771" s="2" t="str">
        <f>"9781847883155"</f>
        <v>9781847883155</v>
      </c>
      <c r="E2771" s="2">
        <v>487166</v>
      </c>
    </row>
    <row r="2772" spans="1:5" x14ac:dyDescent="0.25">
      <c r="A2772" s="4">
        <v>41975.717372685183</v>
      </c>
      <c r="B2772" s="2" t="s">
        <v>2801</v>
      </c>
      <c r="C2772" s="2" t="s">
        <v>36</v>
      </c>
      <c r="D2772" s="2" t="str">
        <f>"9781476614502"</f>
        <v>9781476614502</v>
      </c>
      <c r="E2772" s="2">
        <v>1637224</v>
      </c>
    </row>
    <row r="2773" spans="1:5" x14ac:dyDescent="0.25">
      <c r="A2773" s="4">
        <v>43244.46802083333</v>
      </c>
      <c r="B2773" s="2" t="s">
        <v>12</v>
      </c>
      <c r="C2773" s="2" t="s">
        <v>13</v>
      </c>
      <c r="D2773" s="2" t="str">
        <f>"9781615047574"</f>
        <v>9781615047574</v>
      </c>
      <c r="E2773" s="2">
        <v>5056866</v>
      </c>
    </row>
    <row r="2774" spans="1:5" x14ac:dyDescent="0.25">
      <c r="A2774" s="4">
        <v>41921.329062500001</v>
      </c>
      <c r="B2774" s="2" t="s">
        <v>3349</v>
      </c>
      <c r="C2774" s="2" t="s">
        <v>26</v>
      </c>
      <c r="D2774" s="2" t="str">
        <f>"9781444324594"</f>
        <v>9781444324594</v>
      </c>
      <c r="E2774" s="2">
        <v>644942</v>
      </c>
    </row>
    <row r="2775" spans="1:5" x14ac:dyDescent="0.25">
      <c r="A2775" s="4">
        <v>41978.703043981484</v>
      </c>
      <c r="B2775" s="2" t="s">
        <v>2558</v>
      </c>
      <c r="C2775" s="2" t="s">
        <v>26</v>
      </c>
      <c r="D2775" s="2" t="str">
        <f>"9781118181362"</f>
        <v>9781118181362</v>
      </c>
      <c r="E2775" s="2">
        <v>817497</v>
      </c>
    </row>
    <row r="2776" spans="1:5" x14ac:dyDescent="0.25">
      <c r="A2776" s="4">
        <v>41977.044409722221</v>
      </c>
      <c r="B2776" s="2" t="s">
        <v>2622</v>
      </c>
      <c r="C2776" s="2" t="s">
        <v>119</v>
      </c>
      <c r="D2776" s="2" t="str">
        <f>"9780520941519"</f>
        <v>9780520941519</v>
      </c>
      <c r="E2776" s="2">
        <v>358944</v>
      </c>
    </row>
    <row r="2777" spans="1:5" x14ac:dyDescent="0.25">
      <c r="A2777" s="4">
        <v>41933.342314814814</v>
      </c>
      <c r="B2777" s="2" t="s">
        <v>3097</v>
      </c>
      <c r="C2777" s="2" t="s">
        <v>18</v>
      </c>
      <c r="D2777" s="2" t="str">
        <f>"9781441118004"</f>
        <v>9781441118004</v>
      </c>
      <c r="E2777" s="2">
        <v>1099541</v>
      </c>
    </row>
    <row r="2778" spans="1:5" x14ac:dyDescent="0.25">
      <c r="A2778" s="4">
        <v>41994.899131944447</v>
      </c>
      <c r="B2778" s="2" t="s">
        <v>1124</v>
      </c>
      <c r="C2778" s="2" t="s">
        <v>63</v>
      </c>
      <c r="D2778" s="2" t="str">
        <f>"9781400843329"</f>
        <v>9781400843329</v>
      </c>
      <c r="E2778" s="2">
        <v>1469427</v>
      </c>
    </row>
    <row r="2779" spans="1:5" x14ac:dyDescent="0.25">
      <c r="A2779" s="4">
        <v>41994.878738425927</v>
      </c>
      <c r="B2779" s="2" t="s">
        <v>2230</v>
      </c>
      <c r="C2779" s="2" t="s">
        <v>2170</v>
      </c>
      <c r="D2779" s="2" t="str">
        <f>"9781848130814"</f>
        <v>9781848130814</v>
      </c>
      <c r="E2779" s="2">
        <v>330261</v>
      </c>
    </row>
    <row r="2780" spans="1:5" x14ac:dyDescent="0.25">
      <c r="A2780" s="4">
        <v>41994.901956018519</v>
      </c>
      <c r="B2780" s="2" t="s">
        <v>848</v>
      </c>
      <c r="C2780" s="2" t="s">
        <v>119</v>
      </c>
      <c r="D2780" s="2" t="str">
        <f>"9780520950221"</f>
        <v>9780520950221</v>
      </c>
      <c r="E2780" s="2">
        <v>740308</v>
      </c>
    </row>
    <row r="2781" spans="1:5" x14ac:dyDescent="0.25">
      <c r="A2781" s="4">
        <v>41994.905578703707</v>
      </c>
      <c r="B2781" s="2" t="s">
        <v>606</v>
      </c>
      <c r="C2781" s="2" t="s">
        <v>424</v>
      </c>
      <c r="D2781" s="2" t="str">
        <f>"9780807887691"</f>
        <v>9780807887691</v>
      </c>
      <c r="E2781" s="2">
        <v>454805</v>
      </c>
    </row>
    <row r="2782" spans="1:5" x14ac:dyDescent="0.25">
      <c r="A2782" s="4">
        <v>41981.948229166665</v>
      </c>
      <c r="B2782" s="2" t="s">
        <v>2457</v>
      </c>
      <c r="C2782" s="2" t="s">
        <v>26</v>
      </c>
      <c r="D2782" s="2" t="str">
        <f>"9780470116777"</f>
        <v>9780470116777</v>
      </c>
      <c r="E2782" s="2">
        <v>275897</v>
      </c>
    </row>
    <row r="2783" spans="1:5" x14ac:dyDescent="0.25">
      <c r="A2783" s="4">
        <v>41994.892928240741</v>
      </c>
      <c r="B2783" s="2" t="s">
        <v>1699</v>
      </c>
      <c r="C2783" s="2" t="s">
        <v>16</v>
      </c>
      <c r="D2783" s="2" t="str">
        <f>"9781462502523"</f>
        <v>9781462502523</v>
      </c>
      <c r="E2783" s="2">
        <v>823376</v>
      </c>
    </row>
    <row r="2784" spans="1:5" x14ac:dyDescent="0.25">
      <c r="A2784" s="4">
        <v>41994.878750000003</v>
      </c>
      <c r="B2784" s="2" t="s">
        <v>2206</v>
      </c>
      <c r="C2784" s="2" t="s">
        <v>2170</v>
      </c>
      <c r="D2784" s="2" t="str">
        <f>"9781848134157"</f>
        <v>9781848134157</v>
      </c>
      <c r="E2784" s="2">
        <v>547725</v>
      </c>
    </row>
    <row r="2785" spans="1:5" x14ac:dyDescent="0.25">
      <c r="A2785" s="4">
        <v>41994.878750000003</v>
      </c>
      <c r="B2785" s="2" t="s">
        <v>2207</v>
      </c>
      <c r="C2785" s="2" t="s">
        <v>2170</v>
      </c>
      <c r="D2785" s="2" t="str">
        <f>"9781848134355"</f>
        <v>9781848134355</v>
      </c>
      <c r="E2785" s="2">
        <v>547724</v>
      </c>
    </row>
    <row r="2786" spans="1:5" x14ac:dyDescent="0.25">
      <c r="A2786" s="4">
        <v>41994.905601851853</v>
      </c>
      <c r="B2786" s="2" t="s">
        <v>537</v>
      </c>
      <c r="C2786" s="2" t="s">
        <v>96</v>
      </c>
      <c r="D2786" s="2" t="str">
        <f>"9780807882511"</f>
        <v>9780807882511</v>
      </c>
      <c r="E2786" s="2">
        <v>867050</v>
      </c>
    </row>
    <row r="2787" spans="1:5" x14ac:dyDescent="0.25">
      <c r="A2787" s="4">
        <v>41912.357476851852</v>
      </c>
      <c r="B2787" s="2" t="s">
        <v>3572</v>
      </c>
      <c r="C2787" s="2" t="s">
        <v>26</v>
      </c>
      <c r="D2787" s="2" t="str">
        <f>"9780470755532"</f>
        <v>9780470755532</v>
      </c>
      <c r="E2787" s="2">
        <v>351432</v>
      </c>
    </row>
    <row r="2788" spans="1:5" x14ac:dyDescent="0.25">
      <c r="A2788" s="4">
        <v>41920.705405092594</v>
      </c>
      <c r="B2788" s="2" t="s">
        <v>3361</v>
      </c>
      <c r="C2788" s="2" t="s">
        <v>160</v>
      </c>
      <c r="D2788" s="2" t="str">
        <f>"9781444327687"</f>
        <v>9781444327687</v>
      </c>
      <c r="E2788" s="2">
        <v>589195</v>
      </c>
    </row>
    <row r="2789" spans="1:5" x14ac:dyDescent="0.25">
      <c r="A2789" s="4">
        <v>41994.885023148148</v>
      </c>
      <c r="B2789" s="2" t="s">
        <v>2039</v>
      </c>
      <c r="C2789" s="2" t="s">
        <v>18</v>
      </c>
      <c r="D2789" s="2" t="str">
        <f>"9781441129741"</f>
        <v>9781441129741</v>
      </c>
      <c r="E2789" s="2">
        <v>1080385</v>
      </c>
    </row>
    <row r="2790" spans="1:5" x14ac:dyDescent="0.25">
      <c r="A2790" s="4">
        <v>41994.885057870371</v>
      </c>
      <c r="B2790" s="2" t="s">
        <v>1936</v>
      </c>
      <c r="C2790" s="2" t="s">
        <v>18</v>
      </c>
      <c r="D2790" s="2" t="str">
        <f>"9781408143605"</f>
        <v>9781408143605</v>
      </c>
      <c r="E2790" s="2">
        <v>1779024</v>
      </c>
    </row>
    <row r="2791" spans="1:5" x14ac:dyDescent="0.25">
      <c r="A2791" s="4">
        <v>41974.948449074072</v>
      </c>
      <c r="B2791" s="2" t="s">
        <v>2889</v>
      </c>
      <c r="C2791" s="2" t="s">
        <v>36</v>
      </c>
      <c r="D2791" s="2" t="str">
        <f>"9780786453641"</f>
        <v>9780786453641</v>
      </c>
      <c r="E2791" s="2">
        <v>1593708</v>
      </c>
    </row>
    <row r="2792" spans="1:5" x14ac:dyDescent="0.25">
      <c r="A2792" s="4">
        <v>41994.885000000002</v>
      </c>
      <c r="B2792" s="2" t="s">
        <v>2096</v>
      </c>
      <c r="C2792" s="2" t="s">
        <v>18</v>
      </c>
      <c r="D2792" s="2" t="str">
        <f>"9781441127273"</f>
        <v>9781441127273</v>
      </c>
      <c r="E2792" s="2">
        <v>711087</v>
      </c>
    </row>
    <row r="2793" spans="1:5" x14ac:dyDescent="0.25">
      <c r="A2793" s="4">
        <v>43202.453611111108</v>
      </c>
      <c r="B2793" s="2" t="s">
        <v>62</v>
      </c>
      <c r="C2793" s="2" t="s">
        <v>63</v>
      </c>
      <c r="D2793" s="2" t="str">
        <f>"9781400878963"</f>
        <v>9781400878963</v>
      </c>
      <c r="E2793" s="2">
        <v>4071148</v>
      </c>
    </row>
    <row r="2794" spans="1:5" x14ac:dyDescent="0.25">
      <c r="A2794" s="4">
        <v>41994.899085648147</v>
      </c>
      <c r="B2794" s="2" t="s">
        <v>1283</v>
      </c>
      <c r="C2794" s="2" t="s">
        <v>63</v>
      </c>
      <c r="D2794" s="2" t="str">
        <f>"9781400839858"</f>
        <v>9781400839858</v>
      </c>
      <c r="E2794" s="2">
        <v>738676</v>
      </c>
    </row>
    <row r="2795" spans="1:5" x14ac:dyDescent="0.25">
      <c r="A2795" s="4">
        <v>41994.885046296295</v>
      </c>
      <c r="B2795" s="2" t="s">
        <v>1980</v>
      </c>
      <c r="C2795" s="2" t="s">
        <v>18</v>
      </c>
      <c r="D2795" s="2" t="str">
        <f>"9781472538932"</f>
        <v>9781472538932</v>
      </c>
      <c r="E2795" s="2">
        <v>1561330</v>
      </c>
    </row>
    <row r="2796" spans="1:5" x14ac:dyDescent="0.25">
      <c r="A2796" s="4">
        <v>41907.358252314814</v>
      </c>
      <c r="B2796" s="2" t="s">
        <v>3688</v>
      </c>
      <c r="C2796" s="2" t="s">
        <v>5</v>
      </c>
      <c r="D2796" s="2" t="str">
        <f>"9780857010681"</f>
        <v>9780857010681</v>
      </c>
      <c r="E2796" s="2">
        <v>1035238</v>
      </c>
    </row>
    <row r="2797" spans="1:5" x14ac:dyDescent="0.25">
      <c r="A2797" s="4">
        <v>41994.902013888888</v>
      </c>
      <c r="B2797" s="2" t="s">
        <v>654</v>
      </c>
      <c r="C2797" s="2" t="s">
        <v>119</v>
      </c>
      <c r="D2797" s="2" t="str">
        <f>"9780520957428"</f>
        <v>9780520957428</v>
      </c>
      <c r="E2797" s="2">
        <v>1710981</v>
      </c>
    </row>
    <row r="2798" spans="1:5" x14ac:dyDescent="0.25">
      <c r="A2798" s="4">
        <v>41994.901932870373</v>
      </c>
      <c r="B2798" s="2" t="s">
        <v>934</v>
      </c>
      <c r="C2798" s="2" t="s">
        <v>119</v>
      </c>
      <c r="D2798" s="2" t="str">
        <f>"9780520933422"</f>
        <v>9780520933422</v>
      </c>
      <c r="E2798" s="2">
        <v>471002</v>
      </c>
    </row>
    <row r="2799" spans="1:5" x14ac:dyDescent="0.25">
      <c r="A2799" s="4">
        <v>41975.592627314814</v>
      </c>
      <c r="B2799" s="2" t="s">
        <v>2822</v>
      </c>
      <c r="C2799" s="2" t="s">
        <v>26</v>
      </c>
      <c r="D2799" s="2" t="str">
        <f>"9780470946084"</f>
        <v>9780470946084</v>
      </c>
      <c r="E2799" s="2">
        <v>624399</v>
      </c>
    </row>
    <row r="2800" spans="1:5" x14ac:dyDescent="0.25">
      <c r="A2800" s="4">
        <v>41994.889918981484</v>
      </c>
      <c r="B2800" s="2" t="s">
        <v>1844</v>
      </c>
      <c r="C2800" s="2" t="s">
        <v>72</v>
      </c>
      <c r="D2800" s="2" t="str">
        <f>"9780748645596"</f>
        <v>9780748645596</v>
      </c>
      <c r="E2800" s="2">
        <v>1069071</v>
      </c>
    </row>
    <row r="2801" spans="1:5" x14ac:dyDescent="0.25">
      <c r="A2801" s="4">
        <v>41994.896134259259</v>
      </c>
      <c r="B2801" s="2" t="s">
        <v>1525</v>
      </c>
      <c r="C2801" s="2" t="s">
        <v>28</v>
      </c>
      <c r="D2801" s="2" t="str">
        <f>"9780253006394"</f>
        <v>9780253006394</v>
      </c>
      <c r="E2801" s="2">
        <v>784508</v>
      </c>
    </row>
    <row r="2802" spans="1:5" x14ac:dyDescent="0.25">
      <c r="A2802" s="4">
        <v>41974.987534722219</v>
      </c>
      <c r="B2802" s="2" t="s">
        <v>2883</v>
      </c>
      <c r="C2802" s="2" t="s">
        <v>63</v>
      </c>
      <c r="D2802" s="2" t="str">
        <f>"9781400831197"</f>
        <v>9781400831197</v>
      </c>
      <c r="E2802" s="2">
        <v>475866</v>
      </c>
    </row>
    <row r="2803" spans="1:5" x14ac:dyDescent="0.25">
      <c r="A2803" s="4">
        <v>41994.901979166665</v>
      </c>
      <c r="B2803" s="2" t="s">
        <v>779</v>
      </c>
      <c r="C2803" s="2" t="s">
        <v>119</v>
      </c>
      <c r="D2803" s="2" t="str">
        <f>"9780520952003"</f>
        <v>9780520952003</v>
      </c>
      <c r="E2803" s="2">
        <v>894684</v>
      </c>
    </row>
    <row r="2804" spans="1:5" x14ac:dyDescent="0.25">
      <c r="A2804" s="4">
        <v>41923.783159722225</v>
      </c>
      <c r="B2804" s="2" t="s">
        <v>3302</v>
      </c>
      <c r="C2804" s="2" t="s">
        <v>7</v>
      </c>
      <c r="D2804" s="2" t="str">
        <f>"9781412932516"</f>
        <v>9781412932516</v>
      </c>
      <c r="E2804" s="2">
        <v>254580</v>
      </c>
    </row>
    <row r="2805" spans="1:5" x14ac:dyDescent="0.25">
      <c r="A2805" s="4">
        <v>41994.901921296296</v>
      </c>
      <c r="B2805" s="2" t="s">
        <v>964</v>
      </c>
      <c r="C2805" s="2" t="s">
        <v>119</v>
      </c>
      <c r="D2805" s="2" t="str">
        <f>"9780520935914"</f>
        <v>9780520935914</v>
      </c>
      <c r="E2805" s="2">
        <v>275309</v>
      </c>
    </row>
    <row r="2806" spans="1:5" x14ac:dyDescent="0.25">
      <c r="A2806" s="4">
        <v>41994.885057870371</v>
      </c>
      <c r="B2806" s="2" t="s">
        <v>1938</v>
      </c>
      <c r="C2806" s="2" t="s">
        <v>1934</v>
      </c>
      <c r="D2806" s="2" t="str">
        <f>"9781623562939"</f>
        <v>9781623562939</v>
      </c>
      <c r="E2806" s="2">
        <v>1760648</v>
      </c>
    </row>
    <row r="2807" spans="1:5" x14ac:dyDescent="0.25">
      <c r="A2807" s="4">
        <v>41976.524456018517</v>
      </c>
      <c r="B2807" s="2" t="s">
        <v>2694</v>
      </c>
      <c r="C2807" s="2" t="s">
        <v>18</v>
      </c>
      <c r="D2807" s="2" t="str">
        <f>"9781441181404"</f>
        <v>9781441181404</v>
      </c>
      <c r="E2807" s="2">
        <v>686931</v>
      </c>
    </row>
    <row r="2808" spans="1:5" x14ac:dyDescent="0.25">
      <c r="A2808" s="4">
        <v>41994.885023148148</v>
      </c>
      <c r="B2808" s="2" t="s">
        <v>2034</v>
      </c>
      <c r="C2808" s="2" t="s">
        <v>18</v>
      </c>
      <c r="D2808" s="2" t="str">
        <f>"9781441117083"</f>
        <v>9781441117083</v>
      </c>
      <c r="E2808" s="2">
        <v>1134862</v>
      </c>
    </row>
    <row r="2809" spans="1:5" x14ac:dyDescent="0.25">
      <c r="A2809" s="4">
        <v>41994.896180555559</v>
      </c>
      <c r="B2809" s="2" t="s">
        <v>1448</v>
      </c>
      <c r="C2809" s="2" t="s">
        <v>28</v>
      </c>
      <c r="D2809" s="2" t="str">
        <f>"9780253015075"</f>
        <v>9780253015075</v>
      </c>
      <c r="E2809" s="2">
        <v>1656062</v>
      </c>
    </row>
    <row r="2810" spans="1:5" x14ac:dyDescent="0.25">
      <c r="A2810" s="4">
        <v>41994.885023148148</v>
      </c>
      <c r="B2810" s="2" t="s">
        <v>2033</v>
      </c>
      <c r="C2810" s="2" t="s">
        <v>18</v>
      </c>
      <c r="D2810" s="2" t="str">
        <f>"9780567609465"</f>
        <v>9780567609465</v>
      </c>
      <c r="E2810" s="2">
        <v>1153148</v>
      </c>
    </row>
    <row r="2811" spans="1:5" x14ac:dyDescent="0.25">
      <c r="A2811" s="4">
        <v>41994.899108796293</v>
      </c>
      <c r="B2811" s="2" t="s">
        <v>1223</v>
      </c>
      <c r="C2811" s="2" t="s">
        <v>63</v>
      </c>
      <c r="D2811" s="2" t="str">
        <f>"9781400841592"</f>
        <v>9781400841592</v>
      </c>
      <c r="E2811" s="2">
        <v>913738</v>
      </c>
    </row>
    <row r="2812" spans="1:5" x14ac:dyDescent="0.25">
      <c r="A2812" s="4">
        <v>41994.885046296295</v>
      </c>
      <c r="B2812" s="2" t="s">
        <v>1973</v>
      </c>
      <c r="C2812" s="2" t="s">
        <v>74</v>
      </c>
      <c r="D2812" s="2" t="str">
        <f>"9781623560959"</f>
        <v>9781623560959</v>
      </c>
      <c r="E2812" s="2">
        <v>1580820</v>
      </c>
    </row>
    <row r="2813" spans="1:5" x14ac:dyDescent="0.25">
      <c r="A2813" s="4">
        <v>41994.905636574076</v>
      </c>
      <c r="B2813" s="2" t="s">
        <v>444</v>
      </c>
      <c r="C2813" s="2" t="s">
        <v>96</v>
      </c>
      <c r="D2813" s="2" t="str">
        <f>"9781469615530"</f>
        <v>9781469615530</v>
      </c>
      <c r="E2813" s="2">
        <v>1663536</v>
      </c>
    </row>
    <row r="2814" spans="1:5" x14ac:dyDescent="0.25">
      <c r="A2814" s="4">
        <v>41994.889861111114</v>
      </c>
      <c r="B2814" s="2" t="s">
        <v>1901</v>
      </c>
      <c r="C2814" s="2" t="s">
        <v>72</v>
      </c>
      <c r="D2814" s="2" t="str">
        <f>"9780748637539"</f>
        <v>9780748637539</v>
      </c>
      <c r="E2814" s="2">
        <v>537021</v>
      </c>
    </row>
    <row r="2815" spans="1:5" x14ac:dyDescent="0.25">
      <c r="A2815" s="4">
        <v>41994.901909722219</v>
      </c>
      <c r="B2815" s="2" t="s">
        <v>1018</v>
      </c>
      <c r="C2815" s="2" t="s">
        <v>119</v>
      </c>
      <c r="D2815" s="2" t="str">
        <f>"9780520937055"</f>
        <v>9780520937055</v>
      </c>
      <c r="E2815" s="2">
        <v>223959</v>
      </c>
    </row>
    <row r="2816" spans="1:5" x14ac:dyDescent="0.25">
      <c r="A2816" s="4">
        <v>41994.892939814818</v>
      </c>
      <c r="B2816" s="2" t="s">
        <v>1669</v>
      </c>
      <c r="C2816" s="2" t="s">
        <v>16</v>
      </c>
      <c r="D2816" s="2" t="str">
        <f>"9781462507399"</f>
        <v>9781462507399</v>
      </c>
      <c r="E2816" s="2">
        <v>1069227</v>
      </c>
    </row>
    <row r="2817" spans="1:5" x14ac:dyDescent="0.25">
      <c r="A2817" s="4">
        <v>41994.902002314811</v>
      </c>
      <c r="B2817" s="2" t="s">
        <v>721</v>
      </c>
      <c r="C2817" s="2" t="s">
        <v>119</v>
      </c>
      <c r="D2817" s="2" t="str">
        <f>"9780520954816"</f>
        <v>9780520954816</v>
      </c>
      <c r="E2817" s="2">
        <v>1132023</v>
      </c>
    </row>
    <row r="2818" spans="1:5" x14ac:dyDescent="0.25">
      <c r="A2818" s="4">
        <v>41975.466157407405</v>
      </c>
      <c r="B2818" s="2" t="s">
        <v>2846</v>
      </c>
      <c r="C2818" s="2" t="s">
        <v>26</v>
      </c>
      <c r="D2818" s="2" t="str">
        <f>"9781405178709"</f>
        <v>9781405178709</v>
      </c>
      <c r="E2818" s="2">
        <v>293110</v>
      </c>
    </row>
    <row r="2819" spans="1:5" x14ac:dyDescent="0.25">
      <c r="A2819" s="4">
        <v>41994.905624999999</v>
      </c>
      <c r="B2819" s="2" t="s">
        <v>480</v>
      </c>
      <c r="C2819" s="2" t="s">
        <v>424</v>
      </c>
      <c r="D2819" s="2" t="str">
        <f>"9781469610573"</f>
        <v>9781469610573</v>
      </c>
      <c r="E2819" s="2">
        <v>1109671</v>
      </c>
    </row>
    <row r="2820" spans="1:5" x14ac:dyDescent="0.25">
      <c r="A2820" s="4">
        <v>41994.90556712963</v>
      </c>
      <c r="B2820" s="2" t="s">
        <v>615</v>
      </c>
      <c r="C2820" s="2" t="s">
        <v>96</v>
      </c>
      <c r="D2820" s="2" t="str">
        <f>"9780807876633"</f>
        <v>9780807876633</v>
      </c>
      <c r="E2820" s="2">
        <v>413350</v>
      </c>
    </row>
    <row r="2821" spans="1:5" x14ac:dyDescent="0.25">
      <c r="A2821" s="4">
        <v>41978.525995370372</v>
      </c>
      <c r="B2821" s="2" t="s">
        <v>2572</v>
      </c>
      <c r="C2821" s="2" t="s">
        <v>36</v>
      </c>
      <c r="D2821" s="2" t="str">
        <f>"9780786485895"</f>
        <v>9780786485895</v>
      </c>
      <c r="E2821" s="2">
        <v>679311</v>
      </c>
    </row>
    <row r="2822" spans="1:5" x14ac:dyDescent="0.25">
      <c r="A2822" s="4">
        <v>41994.902013888888</v>
      </c>
      <c r="B2822" s="2" t="s">
        <v>673</v>
      </c>
      <c r="C2822" s="2" t="s">
        <v>119</v>
      </c>
      <c r="D2822" s="2" t="str">
        <f>"9780520927834"</f>
        <v>9780520927834</v>
      </c>
      <c r="E2822" s="2">
        <v>1631131</v>
      </c>
    </row>
    <row r="2823" spans="1:5" x14ac:dyDescent="0.25">
      <c r="A2823" s="4">
        <v>41994.899131944447</v>
      </c>
      <c r="B2823" s="2" t="s">
        <v>1120</v>
      </c>
      <c r="C2823" s="2" t="s">
        <v>63</v>
      </c>
      <c r="D2823" s="2" t="str">
        <f>"9781400843589"</f>
        <v>9781400843589</v>
      </c>
      <c r="E2823" s="2">
        <v>1492537</v>
      </c>
    </row>
    <row r="2824" spans="1:5" x14ac:dyDescent="0.25">
      <c r="A2824" s="4">
        <v>41907.954710648148</v>
      </c>
      <c r="B2824" s="2" t="s">
        <v>3663</v>
      </c>
      <c r="C2824" s="2" t="s">
        <v>63</v>
      </c>
      <c r="D2824" s="2" t="str">
        <f>"9781400846498"</f>
        <v>9781400846498</v>
      </c>
      <c r="E2824" s="2">
        <v>1131673</v>
      </c>
    </row>
    <row r="2825" spans="1:5" x14ac:dyDescent="0.25">
      <c r="A2825" s="4">
        <v>41994.892939814818</v>
      </c>
      <c r="B2825" s="2" t="s">
        <v>1667</v>
      </c>
      <c r="C2825" s="2" t="s">
        <v>16</v>
      </c>
      <c r="D2825" s="2" t="str">
        <f>"9781462507412"</f>
        <v>9781462507412</v>
      </c>
      <c r="E2825" s="2">
        <v>1097793</v>
      </c>
    </row>
    <row r="2826" spans="1:5" x14ac:dyDescent="0.25">
      <c r="A2826" s="4">
        <v>41994.908217592594</v>
      </c>
      <c r="B2826" s="2" t="s">
        <v>268</v>
      </c>
      <c r="C2826" s="2" t="s">
        <v>26</v>
      </c>
      <c r="D2826" s="2" t="str">
        <f>"9781118033784"</f>
        <v>9781118033784</v>
      </c>
      <c r="E2826" s="2">
        <v>693509</v>
      </c>
    </row>
    <row r="2827" spans="1:5" x14ac:dyDescent="0.25">
      <c r="A2827" s="4">
        <v>41916.903773148151</v>
      </c>
      <c r="B2827" s="2" t="s">
        <v>3469</v>
      </c>
      <c r="C2827" s="2" t="s">
        <v>26</v>
      </c>
      <c r="D2827" s="2" t="str">
        <f>"9780471743965"</f>
        <v>9780471743965</v>
      </c>
      <c r="E2827" s="2">
        <v>232615</v>
      </c>
    </row>
    <row r="2828" spans="1:5" x14ac:dyDescent="0.25">
      <c r="A2828" s="4">
        <v>41994.908217592594</v>
      </c>
      <c r="B2828" s="2" t="s">
        <v>260</v>
      </c>
      <c r="C2828" s="2" t="s">
        <v>261</v>
      </c>
      <c r="D2828" s="2" t="str">
        <f>"9781119994572"</f>
        <v>9781119994572</v>
      </c>
      <c r="E2828" s="2">
        <v>693763</v>
      </c>
    </row>
    <row r="2829" spans="1:5" x14ac:dyDescent="0.25">
      <c r="A2829" s="4">
        <v>41912.862233796295</v>
      </c>
      <c r="B2829" s="2" t="s">
        <v>3550</v>
      </c>
      <c r="C2829" s="2" t="s">
        <v>7</v>
      </c>
      <c r="D2829" s="2" t="str">
        <f>"9781452267012"</f>
        <v>9781452267012</v>
      </c>
      <c r="E2829" s="2">
        <v>996748</v>
      </c>
    </row>
    <row r="2830" spans="1:5" x14ac:dyDescent="0.25">
      <c r="A2830" s="4">
        <v>41994.902002314811</v>
      </c>
      <c r="B2830" s="2" t="s">
        <v>696</v>
      </c>
      <c r="C2830" s="2" t="s">
        <v>119</v>
      </c>
      <c r="D2830" s="2" t="str">
        <f>"9780520956780"</f>
        <v>9780520956780</v>
      </c>
      <c r="E2830" s="2">
        <v>1323701</v>
      </c>
    </row>
    <row r="2831" spans="1:5" x14ac:dyDescent="0.25">
      <c r="A2831" s="4">
        <v>41935.311307870368</v>
      </c>
      <c r="B2831" s="2" t="s">
        <v>3038</v>
      </c>
      <c r="C2831" s="2" t="s">
        <v>18</v>
      </c>
      <c r="D2831" s="2" t="str">
        <f>"9781472589064"</f>
        <v>9781472589064</v>
      </c>
      <c r="E2831" s="2">
        <v>1685664</v>
      </c>
    </row>
    <row r="2832" spans="1:5" x14ac:dyDescent="0.25">
      <c r="A2832" s="4">
        <v>41994.901967592596</v>
      </c>
      <c r="B2832" s="2" t="s">
        <v>820</v>
      </c>
      <c r="C2832" s="2" t="s">
        <v>119</v>
      </c>
      <c r="D2832" s="2" t="str">
        <f>"9780520945746"</f>
        <v>9780520945746</v>
      </c>
      <c r="E2832" s="2">
        <v>837249</v>
      </c>
    </row>
    <row r="2833" spans="1:5" x14ac:dyDescent="0.25">
      <c r="A2833" s="4">
        <v>41974.58997685185</v>
      </c>
      <c r="B2833" s="2" t="s">
        <v>2951</v>
      </c>
      <c r="C2833" s="2" t="s">
        <v>2283</v>
      </c>
      <c r="D2833" s="2" t="str">
        <f>"9789027271839"</f>
        <v>9789027271839</v>
      </c>
      <c r="E2833" s="2">
        <v>1394822</v>
      </c>
    </row>
    <row r="2834" spans="1:5" x14ac:dyDescent="0.25">
      <c r="A2834" s="4">
        <v>41920.715254629627</v>
      </c>
      <c r="B2834" s="2" t="s">
        <v>3358</v>
      </c>
      <c r="C2834" s="2" t="s">
        <v>16</v>
      </c>
      <c r="D2834" s="2" t="str">
        <f>"9781606235522"</f>
        <v>9781606235522</v>
      </c>
      <c r="E2834" s="2">
        <v>479602</v>
      </c>
    </row>
    <row r="2835" spans="1:5" x14ac:dyDescent="0.25">
      <c r="A2835" s="4">
        <v>41915.876875000002</v>
      </c>
      <c r="B2835" s="2" t="s">
        <v>3484</v>
      </c>
      <c r="C2835" s="2" t="s">
        <v>26</v>
      </c>
      <c r="D2835" s="2" t="str">
        <f>"9781444390513"</f>
        <v>9781444390513</v>
      </c>
      <c r="E2835" s="2">
        <v>792643</v>
      </c>
    </row>
    <row r="2836" spans="1:5" x14ac:dyDescent="0.25">
      <c r="A2836" s="4">
        <v>41928.498703703706</v>
      </c>
      <c r="B2836" s="2" t="s">
        <v>3196</v>
      </c>
      <c r="C2836" s="2" t="s">
        <v>7</v>
      </c>
      <c r="D2836" s="2" t="str">
        <f>"9781452206721"</f>
        <v>9781452206721</v>
      </c>
      <c r="E2836" s="2">
        <v>996290</v>
      </c>
    </row>
    <row r="2837" spans="1:5" x14ac:dyDescent="0.25">
      <c r="A2837" s="4">
        <v>41994.892893518518</v>
      </c>
      <c r="B2837" s="2" t="s">
        <v>1767</v>
      </c>
      <c r="C2837" s="2" t="s">
        <v>16</v>
      </c>
      <c r="D2837" s="2" t="str">
        <f>"9781606232279"</f>
        <v>9781606232279</v>
      </c>
      <c r="E2837" s="2">
        <v>406020</v>
      </c>
    </row>
    <row r="2838" spans="1:5" x14ac:dyDescent="0.25">
      <c r="A2838" s="4">
        <v>41976.935833333337</v>
      </c>
      <c r="B2838" s="2" t="s">
        <v>2627</v>
      </c>
      <c r="C2838" s="2" t="s">
        <v>16</v>
      </c>
      <c r="D2838" s="2" t="str">
        <f>"9781609182342"</f>
        <v>9781609182342</v>
      </c>
      <c r="E2838" s="2">
        <v>759944</v>
      </c>
    </row>
    <row r="2839" spans="1:5" x14ac:dyDescent="0.25">
      <c r="A2839" s="4">
        <v>41976.570833333331</v>
      </c>
      <c r="B2839" s="2" t="s">
        <v>2679</v>
      </c>
      <c r="C2839" s="2" t="s">
        <v>7</v>
      </c>
      <c r="D2839" s="2" t="str">
        <f>"9780857026392"</f>
        <v>9780857026392</v>
      </c>
      <c r="E2839" s="2">
        <v>537749</v>
      </c>
    </row>
    <row r="2840" spans="1:5" x14ac:dyDescent="0.25">
      <c r="A2840" s="4">
        <v>41936.65828703704</v>
      </c>
      <c r="B2840" s="2" t="s">
        <v>2999</v>
      </c>
      <c r="C2840" s="2" t="s">
        <v>7</v>
      </c>
      <c r="D2840" s="2" t="str">
        <f>"9781452263830"</f>
        <v>9781452263830</v>
      </c>
      <c r="E2840" s="2">
        <v>996856</v>
      </c>
    </row>
    <row r="2841" spans="1:5" x14ac:dyDescent="0.25">
      <c r="A2841" s="4">
        <v>41921.839305555557</v>
      </c>
      <c r="B2841" s="2" t="s">
        <v>3330</v>
      </c>
      <c r="C2841" s="2" t="s">
        <v>7</v>
      </c>
      <c r="D2841" s="2" t="str">
        <f>"9781483302164"</f>
        <v>9781483302164</v>
      </c>
      <c r="E2841" s="2">
        <v>1160201</v>
      </c>
    </row>
    <row r="2842" spans="1:5" x14ac:dyDescent="0.25">
      <c r="A2842" s="4">
        <v>41927.192962962959</v>
      </c>
      <c r="B2842" s="2" t="s">
        <v>3228</v>
      </c>
      <c r="C2842" s="2" t="s">
        <v>7</v>
      </c>
      <c r="D2842" s="2" t="str">
        <f>"9781452224312"</f>
        <v>9781452224312</v>
      </c>
      <c r="E2842" s="2">
        <v>1598335</v>
      </c>
    </row>
    <row r="2843" spans="1:5" x14ac:dyDescent="0.25">
      <c r="A2843" s="4">
        <v>41975.388969907406</v>
      </c>
      <c r="B2843" s="2" t="s">
        <v>2864</v>
      </c>
      <c r="C2843" s="2" t="s">
        <v>26</v>
      </c>
      <c r="D2843" s="2" t="str">
        <f>"9780470585306"</f>
        <v>9780470585306</v>
      </c>
      <c r="E2843" s="2">
        <v>565107</v>
      </c>
    </row>
    <row r="2844" spans="1:5" x14ac:dyDescent="0.25">
      <c r="A2844" s="4">
        <v>41981.718530092592</v>
      </c>
      <c r="B2844" s="2" t="s">
        <v>2467</v>
      </c>
      <c r="C2844" s="2" t="s">
        <v>26</v>
      </c>
      <c r="D2844" s="2" t="str">
        <f>"9780470944196"</f>
        <v>9780470944196</v>
      </c>
      <c r="E2844" s="2">
        <v>624519</v>
      </c>
    </row>
    <row r="2845" spans="1:5" x14ac:dyDescent="0.25">
      <c r="A2845" s="4">
        <v>41981.719710648147</v>
      </c>
      <c r="B2845" s="2" t="s">
        <v>2466</v>
      </c>
      <c r="C2845" s="2" t="s">
        <v>26</v>
      </c>
      <c r="D2845" s="2" t="str">
        <f>"9780470622568"</f>
        <v>9780470622568</v>
      </c>
      <c r="E2845" s="2">
        <v>510225</v>
      </c>
    </row>
    <row r="2846" spans="1:5" x14ac:dyDescent="0.25">
      <c r="A2846" s="4">
        <v>41994.908229166664</v>
      </c>
      <c r="B2846" s="2" t="s">
        <v>222</v>
      </c>
      <c r="C2846" s="2" t="s">
        <v>26</v>
      </c>
      <c r="D2846" s="2" t="str">
        <f>"9780470933893"</f>
        <v>9780470933893</v>
      </c>
      <c r="E2846" s="2">
        <v>700557</v>
      </c>
    </row>
    <row r="2847" spans="1:5" x14ac:dyDescent="0.25">
      <c r="A2847" s="4">
        <v>41994.892916666664</v>
      </c>
      <c r="B2847" s="2" t="s">
        <v>1711</v>
      </c>
      <c r="C2847" s="2" t="s">
        <v>16</v>
      </c>
      <c r="D2847" s="2" t="str">
        <f>"9781609182106"</f>
        <v>9781609182106</v>
      </c>
      <c r="E2847" s="2">
        <v>690508</v>
      </c>
    </row>
    <row r="2848" spans="1:5" x14ac:dyDescent="0.25">
      <c r="A2848" s="4">
        <v>41994.899108796293</v>
      </c>
      <c r="B2848" s="2" t="s">
        <v>1217</v>
      </c>
      <c r="C2848" s="2" t="s">
        <v>63</v>
      </c>
      <c r="D2848" s="2" t="str">
        <f>"9781400845569"</f>
        <v>9781400845569</v>
      </c>
      <c r="E2848" s="2">
        <v>997599</v>
      </c>
    </row>
    <row r="2849" spans="1:5" x14ac:dyDescent="0.25">
      <c r="A2849" s="4">
        <v>43193.56863425926</v>
      </c>
      <c r="B2849" s="2" t="s">
        <v>68</v>
      </c>
      <c r="C2849" s="2" t="s">
        <v>7</v>
      </c>
      <c r="D2849" s="2" t="str">
        <f>"9781526414878"</f>
        <v>9781526414878</v>
      </c>
      <c r="E2849" s="2">
        <v>5049653</v>
      </c>
    </row>
    <row r="2850" spans="1:5" x14ac:dyDescent="0.25">
      <c r="A2850" s="4">
        <v>41975.610972222225</v>
      </c>
      <c r="B2850" s="2" t="s">
        <v>2819</v>
      </c>
      <c r="C2850" s="2" t="s">
        <v>26</v>
      </c>
      <c r="D2850" s="2" t="str">
        <f>"9780470069912"</f>
        <v>9780470069912</v>
      </c>
      <c r="E2850" s="2">
        <v>302245</v>
      </c>
    </row>
    <row r="2851" spans="1:5" x14ac:dyDescent="0.25">
      <c r="A2851" s="4">
        <v>41975.418946759259</v>
      </c>
      <c r="B2851" s="2" t="s">
        <v>2856</v>
      </c>
      <c r="C2851" s="2" t="s">
        <v>16</v>
      </c>
      <c r="D2851" s="2" t="str">
        <f>"9781606231807"</f>
        <v>9781606231807</v>
      </c>
      <c r="E2851" s="2">
        <v>362583</v>
      </c>
    </row>
    <row r="2852" spans="1:5" x14ac:dyDescent="0.25">
      <c r="A2852" s="4">
        <v>41983.554837962962</v>
      </c>
      <c r="B2852" s="2" t="s">
        <v>2403</v>
      </c>
      <c r="C2852" s="2" t="s">
        <v>2404</v>
      </c>
      <c r="D2852" s="2" t="str">
        <f>"9780335240203"</f>
        <v>9780335240203</v>
      </c>
      <c r="E2852" s="2">
        <v>487790</v>
      </c>
    </row>
    <row r="2853" spans="1:5" x14ac:dyDescent="0.25">
      <c r="A2853" s="4">
        <v>41994.892916666664</v>
      </c>
      <c r="B2853" s="2" t="s">
        <v>1706</v>
      </c>
      <c r="C2853" s="2" t="s">
        <v>16</v>
      </c>
      <c r="D2853" s="2" t="str">
        <f>"9781609186449"</f>
        <v>9781609186449</v>
      </c>
      <c r="E2853" s="2">
        <v>759948</v>
      </c>
    </row>
    <row r="2854" spans="1:5" x14ac:dyDescent="0.25">
      <c r="A2854" s="4">
        <v>41994.901944444442</v>
      </c>
      <c r="B2854" s="2" t="s">
        <v>905</v>
      </c>
      <c r="C2854" s="2" t="s">
        <v>119</v>
      </c>
      <c r="D2854" s="2" t="str">
        <f>"9780520947924"</f>
        <v>9780520947924</v>
      </c>
      <c r="E2854" s="2">
        <v>581281</v>
      </c>
    </row>
    <row r="2855" spans="1:5" x14ac:dyDescent="0.25">
      <c r="A2855" s="4">
        <v>41976.419895833336</v>
      </c>
      <c r="B2855" s="2" t="s">
        <v>2715</v>
      </c>
      <c r="C2855" s="2" t="s">
        <v>2283</v>
      </c>
      <c r="D2855" s="2" t="str">
        <f>"9789027297983"</f>
        <v>9789027297983</v>
      </c>
      <c r="E2855" s="2">
        <v>623117</v>
      </c>
    </row>
    <row r="2856" spans="1:5" x14ac:dyDescent="0.25">
      <c r="A2856" s="4">
        <v>41994.892916666664</v>
      </c>
      <c r="B2856" s="2" t="s">
        <v>1722</v>
      </c>
      <c r="C2856" s="2" t="s">
        <v>16</v>
      </c>
      <c r="D2856" s="2" t="str">
        <f>"9781609181871"</f>
        <v>9781609181871</v>
      </c>
      <c r="E2856" s="2">
        <v>674977</v>
      </c>
    </row>
    <row r="2857" spans="1:5" x14ac:dyDescent="0.25">
      <c r="A2857" s="4">
        <v>41838.593101851853</v>
      </c>
      <c r="B2857" s="2" t="s">
        <v>3977</v>
      </c>
      <c r="C2857" s="2" t="s">
        <v>419</v>
      </c>
      <c r="D2857" s="2" t="str">
        <f>"9780764523908"</f>
        <v>9780764523908</v>
      </c>
      <c r="E2857" s="2">
        <v>130131</v>
      </c>
    </row>
    <row r="2858" spans="1:5" x14ac:dyDescent="0.25">
      <c r="A2858" s="4">
        <v>41925.342650462961</v>
      </c>
      <c r="B2858" s="2" t="s">
        <v>3285</v>
      </c>
      <c r="C2858" s="2" t="s">
        <v>2404</v>
      </c>
      <c r="D2858" s="2" t="str">
        <f>"9780335262779"</f>
        <v>9780335262779</v>
      </c>
      <c r="E2858" s="2">
        <v>1758181</v>
      </c>
    </row>
    <row r="2859" spans="1:5" x14ac:dyDescent="0.25">
      <c r="A2859" s="4">
        <v>41975.590231481481</v>
      </c>
      <c r="B2859" s="2" t="s">
        <v>2823</v>
      </c>
      <c r="C2859" s="2" t="s">
        <v>160</v>
      </c>
      <c r="D2859" s="2" t="str">
        <f>"9781444358704"</f>
        <v>9781444358704</v>
      </c>
      <c r="E2859" s="2">
        <v>819409</v>
      </c>
    </row>
    <row r="2860" spans="1:5" x14ac:dyDescent="0.25">
      <c r="A2860" s="4">
        <v>41994.885034722225</v>
      </c>
      <c r="B2860" s="2" t="s">
        <v>2011</v>
      </c>
      <c r="C2860" s="2" t="s">
        <v>74</v>
      </c>
      <c r="D2860" s="2" t="str">
        <f>"9781623566722"</f>
        <v>9781623566722</v>
      </c>
      <c r="E2860" s="2">
        <v>1224268</v>
      </c>
    </row>
    <row r="2861" spans="1:5" x14ac:dyDescent="0.25">
      <c r="A2861" s="4">
        <v>41976.518900462965</v>
      </c>
      <c r="B2861" s="2" t="s">
        <v>2695</v>
      </c>
      <c r="C2861" s="2" t="s">
        <v>424</v>
      </c>
      <c r="D2861" s="2" t="str">
        <f>"9780807876640"</f>
        <v>9780807876640</v>
      </c>
      <c r="E2861" s="2">
        <v>427143</v>
      </c>
    </row>
    <row r="2862" spans="1:5" x14ac:dyDescent="0.25">
      <c r="A2862" s="4">
        <v>41994.905590277776</v>
      </c>
      <c r="B2862" s="2" t="s">
        <v>558</v>
      </c>
      <c r="C2862" s="2" t="s">
        <v>96</v>
      </c>
      <c r="D2862" s="2" t="str">
        <f>"9780807877869"</f>
        <v>9780807877869</v>
      </c>
      <c r="E2862" s="2">
        <v>732135</v>
      </c>
    </row>
    <row r="2863" spans="1:5" x14ac:dyDescent="0.25">
      <c r="A2863" s="4">
        <v>41921.910405092596</v>
      </c>
      <c r="B2863" s="2" t="s">
        <v>3328</v>
      </c>
      <c r="C2863" s="2" t="s">
        <v>18</v>
      </c>
      <c r="D2863" s="2" t="str">
        <f>"9781472521132"</f>
        <v>9781472521132</v>
      </c>
      <c r="E2863" s="2">
        <v>1394924</v>
      </c>
    </row>
    <row r="2864" spans="1:5" x14ac:dyDescent="0.25">
      <c r="A2864" s="4">
        <v>41994.902002314811</v>
      </c>
      <c r="B2864" s="2" t="s">
        <v>710</v>
      </c>
      <c r="C2864" s="2" t="s">
        <v>119</v>
      </c>
      <c r="D2864" s="2" t="str">
        <f>"9780520956506"</f>
        <v>9780520956506</v>
      </c>
      <c r="E2864" s="2">
        <v>1172738</v>
      </c>
    </row>
    <row r="2865" spans="1:5" x14ac:dyDescent="0.25">
      <c r="A2865" s="4">
        <v>43244.46802083333</v>
      </c>
      <c r="B2865" s="2" t="s">
        <v>20</v>
      </c>
      <c r="C2865" s="2" t="s">
        <v>5</v>
      </c>
      <c r="D2865" s="2" t="str">
        <f>"9781784502591"</f>
        <v>9781784502591</v>
      </c>
      <c r="E2865" s="2">
        <v>4540633</v>
      </c>
    </row>
    <row r="2866" spans="1:5" x14ac:dyDescent="0.25">
      <c r="A2866" s="4">
        <v>41994.901921296296</v>
      </c>
      <c r="B2866" s="2" t="s">
        <v>983</v>
      </c>
      <c r="C2866" s="2" t="s">
        <v>119</v>
      </c>
      <c r="D2866" s="2" t="str">
        <f>"9780520939790"</f>
        <v>9780520939790</v>
      </c>
      <c r="E2866" s="2">
        <v>227326</v>
      </c>
    </row>
    <row r="2867" spans="1:5" x14ac:dyDescent="0.25">
      <c r="A2867" s="4">
        <v>41994.885057870371</v>
      </c>
      <c r="B2867" s="2" t="s">
        <v>1949</v>
      </c>
      <c r="C2867" s="2" t="s">
        <v>74</v>
      </c>
      <c r="D2867" s="2" t="str">
        <f>"9781623566951"</f>
        <v>9781623566951</v>
      </c>
      <c r="E2867" s="2">
        <v>1688464</v>
      </c>
    </row>
    <row r="2868" spans="1:5" x14ac:dyDescent="0.25">
      <c r="A2868" s="4">
        <v>41994.899131944447</v>
      </c>
      <c r="B2868" s="2" t="s">
        <v>1130</v>
      </c>
      <c r="C2868" s="2" t="s">
        <v>63</v>
      </c>
      <c r="D2868" s="2" t="str">
        <f>"9781400849604"</f>
        <v>9781400849604</v>
      </c>
      <c r="E2868" s="2">
        <v>1441388</v>
      </c>
    </row>
    <row r="2869" spans="1:5" x14ac:dyDescent="0.25">
      <c r="A2869" s="4">
        <v>41994.905624999999</v>
      </c>
      <c r="B2869" s="2" t="s">
        <v>470</v>
      </c>
      <c r="C2869" s="2" t="s">
        <v>424</v>
      </c>
      <c r="D2869" s="2" t="str">
        <f>"9781469607634"</f>
        <v>9781469607634</v>
      </c>
      <c r="E2869" s="2">
        <v>1318493</v>
      </c>
    </row>
    <row r="2870" spans="1:5" x14ac:dyDescent="0.25">
      <c r="A2870" s="4">
        <v>41994.901921296296</v>
      </c>
      <c r="B2870" s="2" t="s">
        <v>956</v>
      </c>
      <c r="C2870" s="2" t="s">
        <v>119</v>
      </c>
      <c r="D2870" s="2" t="str">
        <f>"9780520941007"</f>
        <v>9780520941007</v>
      </c>
      <c r="E2870" s="2">
        <v>306140</v>
      </c>
    </row>
    <row r="2871" spans="1:5" x14ac:dyDescent="0.25">
      <c r="A2871" s="4">
        <v>41976.859664351854</v>
      </c>
      <c r="B2871" s="2" t="s">
        <v>2631</v>
      </c>
      <c r="C2871" s="2" t="s">
        <v>1934</v>
      </c>
      <c r="D2871" s="2" t="str">
        <f>"9781623561536"</f>
        <v>9781623561536</v>
      </c>
      <c r="E2871" s="2">
        <v>1106819</v>
      </c>
    </row>
    <row r="2872" spans="1:5" x14ac:dyDescent="0.25">
      <c r="A2872" s="4">
        <v>41994.896099537036</v>
      </c>
      <c r="B2872" s="2" t="s">
        <v>1590</v>
      </c>
      <c r="C2872" s="2" t="s">
        <v>28</v>
      </c>
      <c r="D2872" s="2" t="str">
        <f>"9780253003003"</f>
        <v>9780253003003</v>
      </c>
      <c r="E2872" s="2">
        <v>455800</v>
      </c>
    </row>
    <row r="2873" spans="1:5" x14ac:dyDescent="0.25">
      <c r="A2873" s="4">
        <v>41985.470486111109</v>
      </c>
      <c r="B2873" s="2" t="s">
        <v>2338</v>
      </c>
      <c r="C2873" s="2" t="s">
        <v>74</v>
      </c>
      <c r="D2873" s="2" t="str">
        <f>"9781441101761"</f>
        <v>9781441101761</v>
      </c>
      <c r="E2873" s="2">
        <v>1220333</v>
      </c>
    </row>
    <row r="2874" spans="1:5" x14ac:dyDescent="0.25">
      <c r="A2874" s="4">
        <v>41994.896168981482</v>
      </c>
      <c r="B2874" s="2" t="s">
        <v>1450</v>
      </c>
      <c r="C2874" s="2" t="s">
        <v>28</v>
      </c>
      <c r="D2874" s="2" t="str">
        <f>"9780253011107"</f>
        <v>9780253011107</v>
      </c>
      <c r="E2874" s="2">
        <v>1641156</v>
      </c>
    </row>
    <row r="2875" spans="1:5" x14ac:dyDescent="0.25">
      <c r="A2875" s="4">
        <v>41919.925069444442</v>
      </c>
      <c r="B2875" s="2" t="s">
        <v>3382</v>
      </c>
      <c r="C2875" s="2" t="s">
        <v>36</v>
      </c>
      <c r="D2875" s="2" t="str">
        <f>"9780786453900"</f>
        <v>9780786453900</v>
      </c>
      <c r="E2875" s="2">
        <v>1593703</v>
      </c>
    </row>
    <row r="2876" spans="1:5" x14ac:dyDescent="0.25">
      <c r="A2876" s="4">
        <v>41974.549178240741</v>
      </c>
      <c r="B2876" s="2" t="s">
        <v>2958</v>
      </c>
      <c r="C2876" s="2" t="s">
        <v>7</v>
      </c>
      <c r="D2876" s="2" t="str">
        <f>"9781452264387"</f>
        <v>9781452264387</v>
      </c>
      <c r="E2876" s="2">
        <v>996812</v>
      </c>
    </row>
    <row r="2877" spans="1:5" x14ac:dyDescent="0.25">
      <c r="A2877" s="4">
        <v>41935.79546296296</v>
      </c>
      <c r="B2877" s="2" t="s">
        <v>3015</v>
      </c>
      <c r="C2877" s="2" t="s">
        <v>7</v>
      </c>
      <c r="D2877" s="2" t="str">
        <f>"9781412994620"</f>
        <v>9781412994620</v>
      </c>
      <c r="E2877" s="2">
        <v>996206</v>
      </c>
    </row>
    <row r="2878" spans="1:5" x14ac:dyDescent="0.25">
      <c r="A2878" s="4">
        <v>41994.885057870371</v>
      </c>
      <c r="B2878" s="2" t="s">
        <v>1945</v>
      </c>
      <c r="C2878" s="2" t="s">
        <v>18</v>
      </c>
      <c r="D2878" s="2" t="str">
        <f>"9781780931937"</f>
        <v>9781780931937</v>
      </c>
      <c r="E2878" s="2">
        <v>1715658</v>
      </c>
    </row>
    <row r="2879" spans="1:5" x14ac:dyDescent="0.25">
      <c r="A2879" s="4">
        <v>41994.905613425923</v>
      </c>
      <c r="B2879" s="2" t="s">
        <v>495</v>
      </c>
      <c r="C2879" s="2" t="s">
        <v>424</v>
      </c>
      <c r="D2879" s="2" t="str">
        <f>"9780807837634"</f>
        <v>9780807837634</v>
      </c>
      <c r="E2879" s="2">
        <v>1034652</v>
      </c>
    </row>
    <row r="2880" spans="1:5" x14ac:dyDescent="0.25">
      <c r="A2880" s="4">
        <v>41994.905613425923</v>
      </c>
      <c r="B2880" s="2" t="s">
        <v>489</v>
      </c>
      <c r="C2880" s="2" t="s">
        <v>424</v>
      </c>
      <c r="D2880" s="2" t="str">
        <f>"9781469609058"</f>
        <v>9781469609058</v>
      </c>
      <c r="E2880" s="2">
        <v>1062048</v>
      </c>
    </row>
    <row r="2881" spans="1:5" x14ac:dyDescent="0.25">
      <c r="A2881" s="4">
        <v>41994.905636574076</v>
      </c>
      <c r="B2881" s="2" t="s">
        <v>428</v>
      </c>
      <c r="C2881" s="2" t="s">
        <v>424</v>
      </c>
      <c r="D2881" s="2" t="str">
        <f>"9781469617909"</f>
        <v>9781469617909</v>
      </c>
      <c r="E2881" s="2">
        <v>1754645</v>
      </c>
    </row>
    <row r="2882" spans="1:5" x14ac:dyDescent="0.25">
      <c r="A2882" s="4">
        <v>41975.353900462964</v>
      </c>
      <c r="B2882" s="2" t="s">
        <v>2868</v>
      </c>
      <c r="C2882" s="2" t="s">
        <v>63</v>
      </c>
      <c r="D2882" s="2" t="str">
        <f>"9781400826698"</f>
        <v>9781400826698</v>
      </c>
      <c r="E2882" s="2">
        <v>457734</v>
      </c>
    </row>
    <row r="2883" spans="1:5" x14ac:dyDescent="0.25">
      <c r="A2883" s="4">
        <v>41994.902002314811</v>
      </c>
      <c r="B2883" s="2" t="s">
        <v>713</v>
      </c>
      <c r="C2883" s="2" t="s">
        <v>119</v>
      </c>
      <c r="D2883" s="2" t="str">
        <f>"9780520954762"</f>
        <v>9780520954762</v>
      </c>
      <c r="E2883" s="2">
        <v>1163753</v>
      </c>
    </row>
    <row r="2884" spans="1:5" x14ac:dyDescent="0.25">
      <c r="A2884" s="4">
        <v>41898.513298611113</v>
      </c>
      <c r="B2884" s="2" t="s">
        <v>3865</v>
      </c>
      <c r="C2884" s="2" t="s">
        <v>7</v>
      </c>
      <c r="D2884" s="2" t="str">
        <f>"9781848606128"</f>
        <v>9781848606128</v>
      </c>
      <c r="E2884" s="2">
        <v>355065</v>
      </c>
    </row>
    <row r="2885" spans="1:5" x14ac:dyDescent="0.25">
      <c r="A2885" s="4">
        <v>41912.510925925926</v>
      </c>
      <c r="B2885" s="2" t="s">
        <v>3565</v>
      </c>
      <c r="C2885" s="2" t="s">
        <v>26</v>
      </c>
      <c r="D2885" s="2" t="str">
        <f>"9781118007969"</f>
        <v>9781118007969</v>
      </c>
      <c r="E2885" s="2">
        <v>644807</v>
      </c>
    </row>
    <row r="2886" spans="1:5" x14ac:dyDescent="0.25">
      <c r="A2886" s="4">
        <v>41994.889930555553</v>
      </c>
      <c r="B2886" s="2" t="s">
        <v>1830</v>
      </c>
      <c r="C2886" s="2" t="s">
        <v>72</v>
      </c>
      <c r="D2886" s="2" t="str">
        <f>"9780748636402"</f>
        <v>9780748636402</v>
      </c>
      <c r="E2886" s="2">
        <v>1126602</v>
      </c>
    </row>
    <row r="2887" spans="1:5" x14ac:dyDescent="0.25">
      <c r="A2887" s="4">
        <v>41994.901967592596</v>
      </c>
      <c r="B2887" s="2" t="s">
        <v>816</v>
      </c>
      <c r="C2887" s="2" t="s">
        <v>119</v>
      </c>
      <c r="D2887" s="2" t="str">
        <f>"9780520943704"</f>
        <v>9780520943704</v>
      </c>
      <c r="E2887" s="2">
        <v>837276</v>
      </c>
    </row>
    <row r="2888" spans="1:5" x14ac:dyDescent="0.25">
      <c r="A2888" s="4">
        <v>41981.564687500002</v>
      </c>
      <c r="B2888" s="2" t="s">
        <v>2476</v>
      </c>
      <c r="C2888" s="2" t="s">
        <v>119</v>
      </c>
      <c r="D2888" s="2" t="str">
        <f>"9780520922297"</f>
        <v>9780520922297</v>
      </c>
      <c r="E2888" s="2">
        <v>227327</v>
      </c>
    </row>
    <row r="2889" spans="1:5" x14ac:dyDescent="0.25">
      <c r="A2889" s="4">
        <v>41994.908148148148</v>
      </c>
      <c r="B2889" s="2" t="s">
        <v>410</v>
      </c>
      <c r="C2889" s="2" t="s">
        <v>26</v>
      </c>
      <c r="D2889" s="2" t="str">
        <f>"9780471477082"</f>
        <v>9780471477082</v>
      </c>
      <c r="E2889" s="2">
        <v>176850</v>
      </c>
    </row>
    <row r="2890" spans="1:5" x14ac:dyDescent="0.25">
      <c r="A2890" s="4">
        <v>41976.548831018517</v>
      </c>
      <c r="B2890" s="2" t="s">
        <v>2690</v>
      </c>
      <c r="C2890" s="2" t="s">
        <v>5</v>
      </c>
      <c r="D2890" s="2" t="str">
        <f>"9781846425776"</f>
        <v>9781846425776</v>
      </c>
      <c r="E2890" s="2">
        <v>296040</v>
      </c>
    </row>
    <row r="2891" spans="1:5" x14ac:dyDescent="0.25">
      <c r="A2891" s="4">
        <v>41994.901932870373</v>
      </c>
      <c r="B2891" s="2" t="s">
        <v>945</v>
      </c>
      <c r="C2891" s="2" t="s">
        <v>119</v>
      </c>
      <c r="D2891" s="2" t="str">
        <f>"9780520944893"</f>
        <v>9780520944893</v>
      </c>
      <c r="E2891" s="2">
        <v>470936</v>
      </c>
    </row>
    <row r="2892" spans="1:5" x14ac:dyDescent="0.25">
      <c r="A2892" s="4">
        <v>41915.756064814814</v>
      </c>
      <c r="B2892" s="2" t="s">
        <v>3488</v>
      </c>
      <c r="C2892" s="2" t="s">
        <v>74</v>
      </c>
      <c r="D2892" s="2" t="str">
        <f>"9781441124784"</f>
        <v>9781441124784</v>
      </c>
      <c r="E2892" s="2">
        <v>1334391</v>
      </c>
    </row>
    <row r="2893" spans="1:5" x14ac:dyDescent="0.25">
      <c r="A2893" s="4">
        <v>41994.902002314811</v>
      </c>
      <c r="B2893" s="2" t="s">
        <v>720</v>
      </c>
      <c r="C2893" s="2" t="s">
        <v>119</v>
      </c>
      <c r="D2893" s="2" t="str">
        <f>"9780520955363"</f>
        <v>9780520955363</v>
      </c>
      <c r="E2893" s="2">
        <v>1132025</v>
      </c>
    </row>
    <row r="2894" spans="1:5" x14ac:dyDescent="0.25">
      <c r="A2894" s="4">
        <v>41981.678206018521</v>
      </c>
      <c r="B2894" s="2" t="s">
        <v>2469</v>
      </c>
      <c r="C2894" s="2" t="s">
        <v>2166</v>
      </c>
      <c r="D2894" s="2" t="str">
        <f>"9780567250629"</f>
        <v>9780567250629</v>
      </c>
      <c r="E2894" s="2">
        <v>742341</v>
      </c>
    </row>
    <row r="2895" spans="1:5" x14ac:dyDescent="0.25">
      <c r="A2895" s="4">
        <v>41928.434212962966</v>
      </c>
      <c r="B2895" s="2" t="s">
        <v>3201</v>
      </c>
      <c r="C2895" s="2" t="s">
        <v>5</v>
      </c>
      <c r="D2895" s="2" t="str">
        <f>"9781846422195"</f>
        <v>9781846422195</v>
      </c>
      <c r="E2895" s="2">
        <v>767832</v>
      </c>
    </row>
    <row r="2896" spans="1:5" x14ac:dyDescent="0.25">
      <c r="A2896" s="4">
        <v>41994.899050925924</v>
      </c>
      <c r="B2896" s="2" t="s">
        <v>1411</v>
      </c>
      <c r="C2896" s="2" t="s">
        <v>63</v>
      </c>
      <c r="D2896" s="2" t="str">
        <f>"9781400827350"</f>
        <v>9781400827350</v>
      </c>
      <c r="E2896" s="2">
        <v>457812</v>
      </c>
    </row>
    <row r="2897" spans="1:5" x14ac:dyDescent="0.25">
      <c r="A2897" s="4">
        <v>41994.878761574073</v>
      </c>
      <c r="B2897" s="2" t="s">
        <v>2184</v>
      </c>
      <c r="C2897" s="2" t="s">
        <v>2170</v>
      </c>
      <c r="D2897" s="2" t="str">
        <f>"9781780324371"</f>
        <v>9781780324371</v>
      </c>
      <c r="E2897" s="2">
        <v>1404654</v>
      </c>
    </row>
    <row r="2898" spans="1:5" x14ac:dyDescent="0.25">
      <c r="A2898" s="4">
        <v>41921.740173611113</v>
      </c>
      <c r="B2898" s="2" t="s">
        <v>3336</v>
      </c>
      <c r="C2898" s="2" t="s">
        <v>26</v>
      </c>
      <c r="D2898" s="2" t="str">
        <f>"9781444344875"</f>
        <v>9781444344875</v>
      </c>
      <c r="E2898" s="2">
        <v>698139</v>
      </c>
    </row>
    <row r="2899" spans="1:5" x14ac:dyDescent="0.25">
      <c r="A2899" s="4">
        <v>41994.908194444448</v>
      </c>
      <c r="B2899" s="2" t="s">
        <v>323</v>
      </c>
      <c r="C2899" s="2" t="s">
        <v>26</v>
      </c>
      <c r="D2899" s="2" t="str">
        <f>"9781444324952"</f>
        <v>9781444324952</v>
      </c>
      <c r="E2899" s="2">
        <v>516966</v>
      </c>
    </row>
    <row r="2900" spans="1:5" x14ac:dyDescent="0.25">
      <c r="A2900" s="4">
        <v>41935.735081018516</v>
      </c>
      <c r="B2900" s="2" t="s">
        <v>3016</v>
      </c>
      <c r="C2900" s="2" t="s">
        <v>26</v>
      </c>
      <c r="D2900" s="2" t="str">
        <f>"9780470677810"</f>
        <v>9780470677810</v>
      </c>
      <c r="E2900" s="2">
        <v>565108</v>
      </c>
    </row>
    <row r="2901" spans="1:5" x14ac:dyDescent="0.25">
      <c r="A2901" s="4">
        <v>41890.584548611114</v>
      </c>
      <c r="B2901" s="2" t="s">
        <v>3897</v>
      </c>
      <c r="C2901" s="2" t="s">
        <v>26</v>
      </c>
      <c r="D2901" s="2" t="str">
        <f>"9780470169506"</f>
        <v>9780470169506</v>
      </c>
      <c r="E2901" s="2">
        <v>288203</v>
      </c>
    </row>
    <row r="2902" spans="1:5" x14ac:dyDescent="0.25">
      <c r="A2902" s="4">
        <v>41808.63921296296</v>
      </c>
      <c r="B2902" s="2" t="s">
        <v>4000</v>
      </c>
      <c r="C2902" s="2" t="s">
        <v>2404</v>
      </c>
      <c r="D2902" s="2" t="str">
        <f>"9780335242405"</f>
        <v>9780335242405</v>
      </c>
      <c r="E2902" s="2">
        <v>744152</v>
      </c>
    </row>
    <row r="2903" spans="1:5" x14ac:dyDescent="0.25">
      <c r="A2903" s="4">
        <v>41994.885057870371</v>
      </c>
      <c r="B2903" s="2" t="s">
        <v>1943</v>
      </c>
      <c r="C2903" s="2" t="s">
        <v>18</v>
      </c>
      <c r="D2903" s="2" t="str">
        <f>"9781441151483"</f>
        <v>9781441151483</v>
      </c>
      <c r="E2903" s="2">
        <v>1729570</v>
      </c>
    </row>
    <row r="2904" spans="1:5" x14ac:dyDescent="0.25">
      <c r="A2904" s="4">
        <v>41994.896087962959</v>
      </c>
      <c r="B2904" s="2" t="s">
        <v>1612</v>
      </c>
      <c r="C2904" s="2" t="s">
        <v>28</v>
      </c>
      <c r="D2904" s="2" t="str">
        <f>"9780253110855"</f>
        <v>9780253110855</v>
      </c>
      <c r="E2904" s="2">
        <v>239663</v>
      </c>
    </row>
    <row r="2905" spans="1:5" x14ac:dyDescent="0.25">
      <c r="A2905" s="4">
        <v>41903.886874999997</v>
      </c>
      <c r="B2905" s="2" t="s">
        <v>3789</v>
      </c>
      <c r="C2905" s="2" t="s">
        <v>26</v>
      </c>
      <c r="D2905" s="2" t="str">
        <f>"9780470758236"</f>
        <v>9780470758236</v>
      </c>
      <c r="E2905" s="2">
        <v>351453</v>
      </c>
    </row>
    <row r="2906" spans="1:5" x14ac:dyDescent="0.25">
      <c r="A2906" s="4">
        <v>41994.899062500001</v>
      </c>
      <c r="B2906" s="2" t="s">
        <v>1363</v>
      </c>
      <c r="C2906" s="2" t="s">
        <v>63</v>
      </c>
      <c r="D2906" s="2" t="str">
        <f>"9781400836062"</f>
        <v>9781400836062</v>
      </c>
      <c r="E2906" s="2">
        <v>565416</v>
      </c>
    </row>
    <row r="2907" spans="1:5" x14ac:dyDescent="0.25">
      <c r="A2907" s="4">
        <v>41994.896168981482</v>
      </c>
      <c r="B2907" s="2" t="s">
        <v>1449</v>
      </c>
      <c r="C2907" s="2" t="s">
        <v>28</v>
      </c>
      <c r="D2907" s="2" t="str">
        <f>"9780253012067"</f>
        <v>9780253012067</v>
      </c>
      <c r="E2907" s="2">
        <v>1645280</v>
      </c>
    </row>
    <row r="2908" spans="1:5" x14ac:dyDescent="0.25">
      <c r="A2908" s="4">
        <v>41994.902013888888</v>
      </c>
      <c r="B2908" s="2" t="s">
        <v>664</v>
      </c>
      <c r="C2908" s="2" t="s">
        <v>119</v>
      </c>
      <c r="D2908" s="2" t="str">
        <f>"9780520959200"</f>
        <v>9780520959200</v>
      </c>
      <c r="E2908" s="2">
        <v>1674125</v>
      </c>
    </row>
    <row r="2909" spans="1:5" x14ac:dyDescent="0.25">
      <c r="A2909" s="4">
        <v>41927.79550925926</v>
      </c>
      <c r="B2909" s="2" t="s">
        <v>3211</v>
      </c>
      <c r="C2909" s="2" t="s">
        <v>7</v>
      </c>
      <c r="D2909" s="2" t="str">
        <f>"9781446202388"</f>
        <v>9781446202388</v>
      </c>
      <c r="E2909" s="2">
        <v>1046490</v>
      </c>
    </row>
    <row r="2910" spans="1:5" x14ac:dyDescent="0.25">
      <c r="A2910" s="4">
        <v>41979.788599537038</v>
      </c>
      <c r="B2910" s="2" t="s">
        <v>2531</v>
      </c>
      <c r="C2910" s="2" t="s">
        <v>160</v>
      </c>
      <c r="D2910" s="2" t="str">
        <f>"9780470198841"</f>
        <v>9780470198841</v>
      </c>
      <c r="E2910" s="2">
        <v>565129</v>
      </c>
    </row>
    <row r="2911" spans="1:5" x14ac:dyDescent="0.25">
      <c r="A2911" s="4">
        <v>42892.441770833335</v>
      </c>
      <c r="B2911" s="2" t="s">
        <v>127</v>
      </c>
      <c r="C2911" s="2" t="s">
        <v>26</v>
      </c>
      <c r="D2911" s="2" t="str">
        <f>"9781119315544"</f>
        <v>9781119315544</v>
      </c>
      <c r="E2911" s="2">
        <v>4789963</v>
      </c>
    </row>
    <row r="2912" spans="1:5" x14ac:dyDescent="0.25">
      <c r="A2912" s="4">
        <v>41908.502754629626</v>
      </c>
      <c r="B2912" s="2" t="s">
        <v>3651</v>
      </c>
      <c r="C2912" s="2" t="s">
        <v>18</v>
      </c>
      <c r="D2912" s="2" t="str">
        <f>"9781441144485"</f>
        <v>9781441144485</v>
      </c>
      <c r="E2912" s="2">
        <v>601862</v>
      </c>
    </row>
    <row r="2913" spans="1:5" x14ac:dyDescent="0.25">
      <c r="A2913" s="4">
        <v>41867.494432870371</v>
      </c>
      <c r="B2913" s="2" t="s">
        <v>3954</v>
      </c>
      <c r="C2913" s="2" t="s">
        <v>18</v>
      </c>
      <c r="D2913" s="2" t="str">
        <f>"9781441184191"</f>
        <v>9781441184191</v>
      </c>
      <c r="E2913" s="2">
        <v>967749</v>
      </c>
    </row>
    <row r="2914" spans="1:5" x14ac:dyDescent="0.25">
      <c r="A2914" s="4">
        <v>41994.884988425925</v>
      </c>
      <c r="B2914" s="2" t="s">
        <v>2123</v>
      </c>
      <c r="C2914" s="2" t="s">
        <v>18</v>
      </c>
      <c r="D2914" s="2" t="str">
        <f>"9780826434593"</f>
        <v>9780826434593</v>
      </c>
      <c r="E2914" s="2">
        <v>601840</v>
      </c>
    </row>
    <row r="2915" spans="1:5" x14ac:dyDescent="0.25">
      <c r="A2915" s="4">
        <v>41994.899108796293</v>
      </c>
      <c r="B2915" s="2" t="s">
        <v>1204</v>
      </c>
      <c r="C2915" s="2" t="s">
        <v>63</v>
      </c>
      <c r="D2915" s="2" t="str">
        <f>"9781400838523"</f>
        <v>9781400838523</v>
      </c>
      <c r="E2915" s="2">
        <v>1042921</v>
      </c>
    </row>
    <row r="2916" spans="1:5" x14ac:dyDescent="0.25">
      <c r="A2916" s="4">
        <v>41980.833657407406</v>
      </c>
      <c r="B2916" s="2" t="s">
        <v>1204</v>
      </c>
      <c r="C2916" s="2" t="s">
        <v>63</v>
      </c>
      <c r="D2916" s="2" t="str">
        <f>"9781400848140"</f>
        <v>9781400848140</v>
      </c>
      <c r="E2916" s="2">
        <v>1205610</v>
      </c>
    </row>
    <row r="2917" spans="1:5" x14ac:dyDescent="0.25">
      <c r="A2917" s="4">
        <v>41994.901979166665</v>
      </c>
      <c r="B2917" s="2" t="s">
        <v>803</v>
      </c>
      <c r="C2917" s="2" t="s">
        <v>119</v>
      </c>
      <c r="D2917" s="2" t="str">
        <f>"9780520951556"</f>
        <v>9780520951556</v>
      </c>
      <c r="E2917" s="2">
        <v>850694</v>
      </c>
    </row>
    <row r="2918" spans="1:5" x14ac:dyDescent="0.25">
      <c r="A2918" s="4">
        <v>41932.233206018522</v>
      </c>
      <c r="B2918" s="2" t="s">
        <v>3130</v>
      </c>
      <c r="C2918" s="2" t="s">
        <v>26</v>
      </c>
      <c r="D2918" s="2" t="str">
        <f>"9781118012048"</f>
        <v>9781118012048</v>
      </c>
      <c r="E2918" s="2">
        <v>706887</v>
      </c>
    </row>
    <row r="2919" spans="1:5" x14ac:dyDescent="0.25">
      <c r="A2919" s="4">
        <v>41918.486631944441</v>
      </c>
      <c r="B2919" s="2" t="s">
        <v>3438</v>
      </c>
      <c r="C2919" s="2" t="s">
        <v>26</v>
      </c>
      <c r="D2919" s="2" t="str">
        <f>"9780470946411"</f>
        <v>9780470946411</v>
      </c>
      <c r="E2919" s="2">
        <v>661565</v>
      </c>
    </row>
    <row r="2920" spans="1:5" x14ac:dyDescent="0.25">
      <c r="A2920" s="4">
        <v>41918.509513888886</v>
      </c>
      <c r="B2920" s="2" t="s">
        <v>3435</v>
      </c>
      <c r="C2920" s="2" t="s">
        <v>26</v>
      </c>
      <c r="D2920" s="2" t="str">
        <f>"9780470543863"</f>
        <v>9780470543863</v>
      </c>
      <c r="E2920" s="2">
        <v>456238</v>
      </c>
    </row>
    <row r="2921" spans="1:5" x14ac:dyDescent="0.25">
      <c r="A2921" s="4">
        <v>42026.914236111108</v>
      </c>
      <c r="B2921" s="2" t="s">
        <v>2252</v>
      </c>
      <c r="C2921" s="2" t="s">
        <v>119</v>
      </c>
      <c r="D2921" s="2" t="str">
        <f>"9780520957077"</f>
        <v>9780520957077</v>
      </c>
      <c r="E2921" s="2">
        <v>1375428</v>
      </c>
    </row>
    <row r="2922" spans="1:5" x14ac:dyDescent="0.25">
      <c r="A2922" s="4">
        <v>41948.611030092594</v>
      </c>
      <c r="B2922" s="2" t="s">
        <v>2252</v>
      </c>
      <c r="C2922" s="2" t="s">
        <v>119</v>
      </c>
      <c r="D2922" s="2" t="str">
        <f>"9780520957077"</f>
        <v>9780520957077</v>
      </c>
      <c r="E2922" s="2">
        <v>1375428</v>
      </c>
    </row>
    <row r="2923" spans="1:5" x14ac:dyDescent="0.25">
      <c r="A2923" s="4">
        <v>41930.407060185185</v>
      </c>
      <c r="B2923" s="2" t="s">
        <v>2252</v>
      </c>
      <c r="C2923" s="2" t="s">
        <v>119</v>
      </c>
      <c r="D2923" s="2" t="str">
        <f>"9780520957077"</f>
        <v>9780520957077</v>
      </c>
      <c r="E2923" s="2">
        <v>1375428</v>
      </c>
    </row>
    <row r="2924" spans="1:5" x14ac:dyDescent="0.25">
      <c r="A2924" s="4">
        <v>41977.675474537034</v>
      </c>
      <c r="B2924" s="2" t="s">
        <v>2594</v>
      </c>
      <c r="C2924" s="2" t="s">
        <v>96</v>
      </c>
      <c r="D2924" s="2" t="str">
        <f>"9781469615455"</f>
        <v>9781469615455</v>
      </c>
      <c r="E2924" s="2">
        <v>1663556</v>
      </c>
    </row>
    <row r="2925" spans="1:5" x14ac:dyDescent="0.25">
      <c r="A2925" s="4">
        <v>41994.901990740742</v>
      </c>
      <c r="B2925" s="2" t="s">
        <v>748</v>
      </c>
      <c r="C2925" s="2" t="s">
        <v>119</v>
      </c>
      <c r="D2925" s="2" t="str">
        <f>"9780520954106"</f>
        <v>9780520954106</v>
      </c>
      <c r="E2925" s="2">
        <v>996190</v>
      </c>
    </row>
    <row r="2926" spans="1:5" x14ac:dyDescent="0.25">
      <c r="A2926" s="4">
        <v>41920.367835648147</v>
      </c>
      <c r="B2926" s="2" t="s">
        <v>3380</v>
      </c>
      <c r="C2926" s="2" t="s">
        <v>26</v>
      </c>
      <c r="D2926" s="2" t="str">
        <f>"9780470722138"</f>
        <v>9780470722138</v>
      </c>
      <c r="E2926" s="2">
        <v>698224</v>
      </c>
    </row>
    <row r="2927" spans="1:5" x14ac:dyDescent="0.25">
      <c r="A2927" s="4">
        <v>41994.896134259259</v>
      </c>
      <c r="B2927" s="2" t="s">
        <v>1539</v>
      </c>
      <c r="C2927" s="2" t="s">
        <v>28</v>
      </c>
      <c r="D2927" s="2" t="str">
        <f>"9780253001078"</f>
        <v>9780253001078</v>
      </c>
      <c r="E2927" s="2">
        <v>713669</v>
      </c>
    </row>
    <row r="2928" spans="1:5" x14ac:dyDescent="0.25">
      <c r="A2928" s="4">
        <v>41994.901921296296</v>
      </c>
      <c r="B2928" s="2" t="s">
        <v>992</v>
      </c>
      <c r="C2928" s="2" t="s">
        <v>119</v>
      </c>
      <c r="D2928" s="2" t="str">
        <f>"9780520938526"</f>
        <v>9780520938526</v>
      </c>
      <c r="E2928" s="2">
        <v>224589</v>
      </c>
    </row>
    <row r="2929" spans="1:5" x14ac:dyDescent="0.25">
      <c r="A2929" s="4">
        <v>41994.905624999999</v>
      </c>
      <c r="B2929" s="2" t="s">
        <v>467</v>
      </c>
      <c r="C2929" s="2" t="s">
        <v>96</v>
      </c>
      <c r="D2929" s="2" t="str">
        <f>"9781469615561"</f>
        <v>9781469615561</v>
      </c>
      <c r="E2929" s="2">
        <v>1655859</v>
      </c>
    </row>
    <row r="2930" spans="1:5" x14ac:dyDescent="0.25">
      <c r="A2930" s="4">
        <v>41917.516539351855</v>
      </c>
      <c r="B2930" s="2" t="s">
        <v>3462</v>
      </c>
      <c r="C2930" s="2" t="s">
        <v>119</v>
      </c>
      <c r="D2930" s="2" t="str">
        <f>"9780520941786"</f>
        <v>9780520941786</v>
      </c>
      <c r="E2930" s="2">
        <v>293837</v>
      </c>
    </row>
    <row r="2931" spans="1:5" x14ac:dyDescent="0.25">
      <c r="A2931" s="4">
        <v>41975.956504629627</v>
      </c>
      <c r="B2931" s="2" t="s">
        <v>2749</v>
      </c>
      <c r="C2931" s="2" t="s">
        <v>63</v>
      </c>
      <c r="D2931" s="2" t="str">
        <f>"9781400851881"</f>
        <v>9781400851881</v>
      </c>
      <c r="E2931" s="2">
        <v>1689358</v>
      </c>
    </row>
    <row r="2932" spans="1:5" x14ac:dyDescent="0.25">
      <c r="A2932" s="4">
        <v>42878.55972222222</v>
      </c>
      <c r="B2932" s="2" t="s">
        <v>144</v>
      </c>
      <c r="C2932" s="2" t="s">
        <v>72</v>
      </c>
      <c r="D2932" s="2" t="str">
        <f>"9780748694853"</f>
        <v>9780748694853</v>
      </c>
      <c r="E2932" s="2">
        <v>4306142</v>
      </c>
    </row>
    <row r="2933" spans="1:5" x14ac:dyDescent="0.25">
      <c r="A2933" s="4">
        <v>41933.552523148152</v>
      </c>
      <c r="B2933" s="2" t="s">
        <v>3092</v>
      </c>
      <c r="C2933" s="2" t="s">
        <v>119</v>
      </c>
      <c r="D2933" s="2" t="str">
        <f>"9780520950405"</f>
        <v>9780520950405</v>
      </c>
      <c r="E2933" s="2">
        <v>847473</v>
      </c>
    </row>
    <row r="2934" spans="1:5" x14ac:dyDescent="0.25">
      <c r="A2934" s="4">
        <v>41994.896145833336</v>
      </c>
      <c r="B2934" s="2" t="s">
        <v>1509</v>
      </c>
      <c r="C2934" s="2" t="s">
        <v>28</v>
      </c>
      <c r="D2934" s="2" t="str">
        <f>"9780253007070"</f>
        <v>9780253007070</v>
      </c>
      <c r="E2934" s="2">
        <v>816871</v>
      </c>
    </row>
    <row r="2935" spans="1:5" x14ac:dyDescent="0.25">
      <c r="A2935" s="4">
        <v>41906.355891203704</v>
      </c>
      <c r="B2935" s="2" t="s">
        <v>3716</v>
      </c>
      <c r="C2935" s="2" t="s">
        <v>26</v>
      </c>
      <c r="D2935" s="2" t="str">
        <f>"9780470249093"</f>
        <v>9780470249093</v>
      </c>
      <c r="E2935" s="2">
        <v>335727</v>
      </c>
    </row>
    <row r="2936" spans="1:5" x14ac:dyDescent="0.25">
      <c r="A2936" s="4">
        <v>41906.352222222224</v>
      </c>
      <c r="B2936" s="2" t="s">
        <v>3717</v>
      </c>
      <c r="C2936" s="2" t="s">
        <v>26</v>
      </c>
      <c r="D2936" s="2" t="str">
        <f>"9780471711599"</f>
        <v>9780471711599</v>
      </c>
      <c r="E2936" s="2">
        <v>228463</v>
      </c>
    </row>
    <row r="2937" spans="1:5" x14ac:dyDescent="0.25">
      <c r="A2937" s="4">
        <v>41984.622175925928</v>
      </c>
      <c r="B2937" s="2" t="s">
        <v>2362</v>
      </c>
      <c r="C2937" s="2" t="s">
        <v>26</v>
      </c>
      <c r="D2937" s="2" t="str">
        <f>"9780787976606"</f>
        <v>9780787976606</v>
      </c>
      <c r="E2937" s="2">
        <v>221229</v>
      </c>
    </row>
    <row r="2938" spans="1:5" x14ac:dyDescent="0.25">
      <c r="A2938" s="4">
        <v>41848.056284722225</v>
      </c>
      <c r="B2938" s="2" t="s">
        <v>2362</v>
      </c>
      <c r="C2938" s="2" t="s">
        <v>26</v>
      </c>
      <c r="D2938" s="2" t="str">
        <f>"9781118049938"</f>
        <v>9781118049938</v>
      </c>
      <c r="E2938" s="2">
        <v>697485</v>
      </c>
    </row>
    <row r="2939" spans="1:5" x14ac:dyDescent="0.25">
      <c r="A2939" s="4">
        <v>41974.4059375</v>
      </c>
      <c r="B2939" s="2" t="s">
        <v>2990</v>
      </c>
      <c r="C2939" s="2" t="s">
        <v>26</v>
      </c>
      <c r="D2939" s="2" t="str">
        <f>"9780471268147"</f>
        <v>9780471268147</v>
      </c>
      <c r="E2939" s="2">
        <v>468617</v>
      </c>
    </row>
    <row r="2940" spans="1:5" x14ac:dyDescent="0.25">
      <c r="A2940" s="4">
        <v>41885.720219907409</v>
      </c>
      <c r="B2940" s="2" t="s">
        <v>3903</v>
      </c>
      <c r="C2940" s="2" t="s">
        <v>16</v>
      </c>
      <c r="D2940" s="2" t="str">
        <f>"9781462512225"</f>
        <v>9781462512225</v>
      </c>
      <c r="E2940" s="2">
        <v>1355714</v>
      </c>
    </row>
    <row r="2941" spans="1:5" x14ac:dyDescent="0.25">
      <c r="A2941" s="4">
        <v>41986.585312499999</v>
      </c>
      <c r="B2941" s="2" t="s">
        <v>2322</v>
      </c>
      <c r="C2941" s="2" t="s">
        <v>63</v>
      </c>
      <c r="D2941" s="2" t="str">
        <f>"9781400848546"</f>
        <v>9781400848546</v>
      </c>
      <c r="E2941" s="2">
        <v>1205616</v>
      </c>
    </row>
    <row r="2942" spans="1:5" x14ac:dyDescent="0.25">
      <c r="A2942" s="4">
        <v>41976.94866898148</v>
      </c>
      <c r="B2942" s="2" t="s">
        <v>2625</v>
      </c>
      <c r="C2942" s="2" t="s">
        <v>26</v>
      </c>
      <c r="D2942" s="2" t="str">
        <f>"9780470777725"</f>
        <v>9780470777725</v>
      </c>
      <c r="E2942" s="2">
        <v>351466</v>
      </c>
    </row>
    <row r="2943" spans="1:5" x14ac:dyDescent="0.25">
      <c r="A2943" s="4">
        <v>41974.692094907405</v>
      </c>
      <c r="B2943" s="2" t="s">
        <v>2929</v>
      </c>
      <c r="C2943" s="2" t="s">
        <v>16</v>
      </c>
      <c r="D2943" s="2" t="str">
        <f>"9781593857448"</f>
        <v>9781593857448</v>
      </c>
      <c r="E2943" s="2">
        <v>320590</v>
      </c>
    </row>
    <row r="2944" spans="1:5" x14ac:dyDescent="0.25">
      <c r="A2944" s="4">
        <v>41994.899085648147</v>
      </c>
      <c r="B2944" s="2" t="s">
        <v>1275</v>
      </c>
      <c r="C2944" s="2" t="s">
        <v>63</v>
      </c>
      <c r="D2944" s="2" t="str">
        <f>"9781400839742"</f>
        <v>9781400839742</v>
      </c>
      <c r="E2944" s="2">
        <v>767223</v>
      </c>
    </row>
    <row r="2945" spans="1:5" x14ac:dyDescent="0.25">
      <c r="A2945" s="4">
        <v>41994.899143518516</v>
      </c>
      <c r="B2945" s="2" t="s">
        <v>1104</v>
      </c>
      <c r="C2945" s="2" t="s">
        <v>63</v>
      </c>
      <c r="D2945" s="2" t="str">
        <f>"9781400850952"</f>
        <v>9781400850952</v>
      </c>
      <c r="E2945" s="2">
        <v>1573474</v>
      </c>
    </row>
    <row r="2946" spans="1:5" x14ac:dyDescent="0.25">
      <c r="A2946" s="4">
        <v>41988.446793981479</v>
      </c>
      <c r="B2946" s="2" t="s">
        <v>2287</v>
      </c>
      <c r="C2946" s="2" t="s">
        <v>119</v>
      </c>
      <c r="D2946" s="2" t="str">
        <f>"9780520953901"</f>
        <v>9780520953901</v>
      </c>
      <c r="E2946" s="2">
        <v>999936</v>
      </c>
    </row>
    <row r="2947" spans="1:5" x14ac:dyDescent="0.25">
      <c r="A2947" s="4">
        <v>42114.717835648145</v>
      </c>
      <c r="B2947" s="2" t="s">
        <v>2240</v>
      </c>
      <c r="C2947" s="2" t="s">
        <v>160</v>
      </c>
      <c r="D2947" s="2" t="str">
        <f>"9780470557105"</f>
        <v>9780470557105</v>
      </c>
      <c r="E2947" s="2">
        <v>468651</v>
      </c>
    </row>
    <row r="2948" spans="1:5" x14ac:dyDescent="0.25">
      <c r="A2948" s="4">
        <v>42061.745925925927</v>
      </c>
      <c r="B2948" s="2" t="s">
        <v>2240</v>
      </c>
      <c r="C2948" s="2" t="s">
        <v>160</v>
      </c>
      <c r="D2948" s="2" t="str">
        <f>"9780470557105"</f>
        <v>9780470557105</v>
      </c>
      <c r="E2948" s="2">
        <v>468651</v>
      </c>
    </row>
    <row r="2949" spans="1:5" x14ac:dyDescent="0.25">
      <c r="A2949" s="4">
        <v>41868.546168981484</v>
      </c>
      <c r="B2949" s="2" t="s">
        <v>2240</v>
      </c>
      <c r="C2949" s="2" t="s">
        <v>160</v>
      </c>
      <c r="D2949" s="2" t="str">
        <f>"9780470557105"</f>
        <v>9780470557105</v>
      </c>
      <c r="E2949" s="2">
        <v>468651</v>
      </c>
    </row>
    <row r="2950" spans="1:5" x14ac:dyDescent="0.25">
      <c r="A2950" s="4">
        <v>41862.882627314815</v>
      </c>
      <c r="B2950" s="2" t="s">
        <v>3958</v>
      </c>
      <c r="C2950" s="2" t="s">
        <v>26</v>
      </c>
      <c r="D2950" s="2" t="str">
        <f>"9780470549773"</f>
        <v>9780470549773</v>
      </c>
      <c r="E2950" s="2">
        <v>469208</v>
      </c>
    </row>
    <row r="2951" spans="1:5" x14ac:dyDescent="0.25">
      <c r="A2951" s="4">
        <v>41979.737638888888</v>
      </c>
      <c r="B2951" s="2" t="s">
        <v>2533</v>
      </c>
      <c r="C2951" s="2" t="s">
        <v>26</v>
      </c>
      <c r="D2951" s="2" t="str">
        <f>"9780470872147"</f>
        <v>9780470872147</v>
      </c>
      <c r="E2951" s="2">
        <v>624372</v>
      </c>
    </row>
    <row r="2952" spans="1:5" x14ac:dyDescent="0.25">
      <c r="A2952" s="4">
        <v>41913.520590277774</v>
      </c>
      <c r="B2952" s="2" t="s">
        <v>2533</v>
      </c>
      <c r="C2952" s="2" t="s">
        <v>26</v>
      </c>
      <c r="D2952" s="2" t="str">
        <f>"9780787971236"</f>
        <v>9780787971236</v>
      </c>
      <c r="E2952" s="2">
        <v>158014</v>
      </c>
    </row>
    <row r="2953" spans="1:5" x14ac:dyDescent="0.25">
      <c r="A2953" s="4">
        <v>41900.492071759261</v>
      </c>
      <c r="B2953" s="2" t="s">
        <v>3839</v>
      </c>
      <c r="C2953" s="2" t="s">
        <v>26</v>
      </c>
      <c r="D2953" s="2" t="str">
        <f>"9780470495681"</f>
        <v>9780470495681</v>
      </c>
      <c r="E2953" s="2">
        <v>484825</v>
      </c>
    </row>
    <row r="2954" spans="1:5" x14ac:dyDescent="0.25">
      <c r="A2954" s="4">
        <v>41994.908217592594</v>
      </c>
      <c r="B2954" s="2" t="s">
        <v>240</v>
      </c>
      <c r="C2954" s="2" t="s">
        <v>26</v>
      </c>
      <c r="D2954" s="2" t="str">
        <f>"9781118090275"</f>
        <v>9781118090275</v>
      </c>
      <c r="E2954" s="2">
        <v>697946</v>
      </c>
    </row>
    <row r="2955" spans="1:5" x14ac:dyDescent="0.25">
      <c r="A2955" s="4">
        <v>42110.27753472222</v>
      </c>
      <c r="B2955" s="2" t="s">
        <v>2241</v>
      </c>
      <c r="C2955" s="2" t="s">
        <v>26</v>
      </c>
      <c r="D2955" s="2" t="str">
        <f>"9780470630891"</f>
        <v>9780470630891</v>
      </c>
      <c r="E2955" s="2">
        <v>542990</v>
      </c>
    </row>
    <row r="2956" spans="1:5" x14ac:dyDescent="0.25">
      <c r="A2956" s="4">
        <v>41900.34165509259</v>
      </c>
      <c r="B2956" s="2" t="s">
        <v>2241</v>
      </c>
      <c r="C2956" s="2" t="s">
        <v>26</v>
      </c>
      <c r="D2956" s="2" t="str">
        <f>"9780470630891"</f>
        <v>9780470630891</v>
      </c>
      <c r="E2956" s="2">
        <v>542990</v>
      </c>
    </row>
    <row r="2957" spans="1:5" x14ac:dyDescent="0.25">
      <c r="A2957" s="4">
        <v>43172.584768518522</v>
      </c>
      <c r="B2957" s="2" t="s">
        <v>78</v>
      </c>
      <c r="C2957" s="2" t="s">
        <v>36</v>
      </c>
      <c r="D2957" s="2" t="str">
        <f>"9781476623740"</f>
        <v>9781476623740</v>
      </c>
      <c r="E2957" s="2">
        <v>4530438</v>
      </c>
    </row>
    <row r="2958" spans="1:5" x14ac:dyDescent="0.25">
      <c r="A2958" s="4">
        <v>41994.896157407406</v>
      </c>
      <c r="B2958" s="2" t="s">
        <v>1479</v>
      </c>
      <c r="C2958" s="2" t="s">
        <v>28</v>
      </c>
      <c r="D2958" s="2" t="str">
        <f>"9780253008909"</f>
        <v>9780253008909</v>
      </c>
      <c r="E2958" s="2">
        <v>1204011</v>
      </c>
    </row>
    <row r="2959" spans="1:5" x14ac:dyDescent="0.25">
      <c r="A2959" s="4">
        <v>41994.896145833336</v>
      </c>
      <c r="B2959" s="2" t="s">
        <v>1497</v>
      </c>
      <c r="C2959" s="2" t="s">
        <v>28</v>
      </c>
      <c r="D2959" s="2" t="str">
        <f>"9780253008954"</f>
        <v>9780253008954</v>
      </c>
      <c r="E2959" s="2">
        <v>1025597</v>
      </c>
    </row>
    <row r="2960" spans="1:5" x14ac:dyDescent="0.25">
      <c r="A2960" s="4">
        <v>41936.531597222223</v>
      </c>
      <c r="B2960" s="2" t="s">
        <v>3003</v>
      </c>
      <c r="C2960" s="2" t="s">
        <v>7</v>
      </c>
      <c r="D2960" s="2" t="str">
        <f>"9781848607613"</f>
        <v>9781848607613</v>
      </c>
      <c r="E2960" s="2">
        <v>370528</v>
      </c>
    </row>
    <row r="2961" spans="1:5" x14ac:dyDescent="0.25">
      <c r="A2961" s="4">
        <v>41917.856099537035</v>
      </c>
      <c r="B2961" s="2" t="s">
        <v>3452</v>
      </c>
      <c r="C2961" s="2" t="s">
        <v>74</v>
      </c>
      <c r="D2961" s="2" t="str">
        <f>"9781623560577"</f>
        <v>9781623560577</v>
      </c>
      <c r="E2961" s="2">
        <v>1650668</v>
      </c>
    </row>
    <row r="2962" spans="1:5" x14ac:dyDescent="0.25">
      <c r="A2962" s="4">
        <v>41994.901967592596</v>
      </c>
      <c r="B2962" s="2" t="s">
        <v>819</v>
      </c>
      <c r="C2962" s="2" t="s">
        <v>119</v>
      </c>
      <c r="D2962" s="2" t="str">
        <f>"9780520939639"</f>
        <v>9780520939639</v>
      </c>
      <c r="E2962" s="2">
        <v>837260</v>
      </c>
    </row>
    <row r="2963" spans="1:5" x14ac:dyDescent="0.25">
      <c r="A2963" s="4">
        <v>41994.908171296294</v>
      </c>
      <c r="B2963" s="2" t="s">
        <v>361</v>
      </c>
      <c r="C2963" s="2" t="s">
        <v>26</v>
      </c>
      <c r="D2963" s="2" t="str">
        <f>"9780470282090"</f>
        <v>9780470282090</v>
      </c>
      <c r="E2963" s="2">
        <v>353410</v>
      </c>
    </row>
    <row r="2964" spans="1:5" x14ac:dyDescent="0.25">
      <c r="A2964" s="4">
        <v>41994.899050925924</v>
      </c>
      <c r="B2964" s="2" t="s">
        <v>1403</v>
      </c>
      <c r="C2964" s="2" t="s">
        <v>63</v>
      </c>
      <c r="D2964" s="2" t="str">
        <f>"9781400829279"</f>
        <v>9781400829279</v>
      </c>
      <c r="E2964" s="2">
        <v>457911</v>
      </c>
    </row>
    <row r="2965" spans="1:5" x14ac:dyDescent="0.25">
      <c r="A2965" s="4">
        <v>41911.30773148148</v>
      </c>
      <c r="B2965" s="2" t="s">
        <v>3607</v>
      </c>
      <c r="C2965" s="2" t="s">
        <v>16</v>
      </c>
      <c r="D2965" s="2" t="str">
        <f>"9781462508051"</f>
        <v>9781462508051</v>
      </c>
      <c r="E2965" s="2">
        <v>1104227</v>
      </c>
    </row>
    <row r="2966" spans="1:5" x14ac:dyDescent="0.25">
      <c r="A2966" s="4">
        <v>41988.640081018515</v>
      </c>
      <c r="B2966" s="2" t="s">
        <v>2279</v>
      </c>
      <c r="C2966" s="2" t="s">
        <v>36</v>
      </c>
      <c r="D2966" s="2" t="str">
        <f>"9781476615332"</f>
        <v>9781476615332</v>
      </c>
      <c r="E2966" s="2">
        <v>1650592</v>
      </c>
    </row>
    <row r="2967" spans="1:5" x14ac:dyDescent="0.25">
      <c r="A2967" s="4">
        <v>41994.885034722225</v>
      </c>
      <c r="B2967" s="2" t="s">
        <v>2022</v>
      </c>
      <c r="C2967" s="2" t="s">
        <v>74</v>
      </c>
      <c r="D2967" s="2" t="str">
        <f>"9781441159342"</f>
        <v>9781441159342</v>
      </c>
      <c r="E2967" s="2">
        <v>1190697</v>
      </c>
    </row>
    <row r="2968" spans="1:5" x14ac:dyDescent="0.25">
      <c r="A2968" s="4">
        <v>41912.62232638889</v>
      </c>
      <c r="B2968" s="2" t="s">
        <v>3556</v>
      </c>
      <c r="C2968" s="2" t="s">
        <v>2404</v>
      </c>
      <c r="D2968" s="2" t="str">
        <f>"9780335243693"</f>
        <v>9780335243693</v>
      </c>
      <c r="E2968" s="2">
        <v>863799</v>
      </c>
    </row>
    <row r="2969" spans="1:5" x14ac:dyDescent="0.25">
      <c r="A2969" s="4">
        <v>41994.908194444448</v>
      </c>
      <c r="B2969" s="2" t="s">
        <v>302</v>
      </c>
      <c r="C2969" s="2" t="s">
        <v>26</v>
      </c>
      <c r="D2969" s="2" t="str">
        <f>"9780470925515"</f>
        <v>9780470925515</v>
      </c>
      <c r="E2969" s="2">
        <v>624569</v>
      </c>
    </row>
    <row r="2970" spans="1:5" x14ac:dyDescent="0.25">
      <c r="A2970" s="4">
        <v>41917.843229166669</v>
      </c>
      <c r="B2970" s="2" t="s">
        <v>3453</v>
      </c>
      <c r="C2970" s="2" t="s">
        <v>26</v>
      </c>
      <c r="D2970" s="2" t="str">
        <f>"9781119970927"</f>
        <v>9781119970927</v>
      </c>
      <c r="E2970" s="2">
        <v>819228</v>
      </c>
    </row>
    <row r="2971" spans="1:5" x14ac:dyDescent="0.25">
      <c r="A2971" s="4">
        <v>41898.00209490741</v>
      </c>
      <c r="B2971" s="2" t="s">
        <v>3868</v>
      </c>
      <c r="C2971" s="2" t="s">
        <v>7</v>
      </c>
      <c r="D2971" s="2" t="str">
        <f>"9781452264202"</f>
        <v>9781452264202</v>
      </c>
      <c r="E2971" s="2">
        <v>996831</v>
      </c>
    </row>
    <row r="2972" spans="1:5" x14ac:dyDescent="0.25">
      <c r="A2972" s="4">
        <v>43207.571412037039</v>
      </c>
      <c r="B2972" s="2" t="s">
        <v>43</v>
      </c>
      <c r="C2972" s="2" t="s">
        <v>36</v>
      </c>
      <c r="D2972" s="2" t="str">
        <f>"9781476628011"</f>
        <v>9781476628011</v>
      </c>
      <c r="E2972" s="2">
        <v>4850699</v>
      </c>
    </row>
    <row r="2973" spans="1:5" x14ac:dyDescent="0.25">
      <c r="A2973" s="4">
        <v>41926.841203703705</v>
      </c>
      <c r="B2973" s="2" t="s">
        <v>3236</v>
      </c>
      <c r="C2973" s="2" t="s">
        <v>36</v>
      </c>
      <c r="D2973" s="2" t="str">
        <f>"9780786490356"</f>
        <v>9780786490356</v>
      </c>
      <c r="E2973" s="2">
        <v>896978</v>
      </c>
    </row>
    <row r="2974" spans="1:5" x14ac:dyDescent="0.25">
      <c r="A2974" s="4">
        <v>41975.65929398148</v>
      </c>
      <c r="B2974" s="2" t="s">
        <v>2809</v>
      </c>
      <c r="C2974" s="2" t="s">
        <v>26</v>
      </c>
      <c r="D2974" s="2" t="str">
        <f>"9781405153089"</f>
        <v>9781405153089</v>
      </c>
      <c r="E2974" s="2">
        <v>243582</v>
      </c>
    </row>
    <row r="2975" spans="1:5" x14ac:dyDescent="0.25">
      <c r="A2975" s="4">
        <v>41994.90824074074</v>
      </c>
      <c r="B2975" s="2" t="s">
        <v>157</v>
      </c>
      <c r="C2975" s="2" t="s">
        <v>26</v>
      </c>
      <c r="D2975" s="2" t="str">
        <f>"9781118328286"</f>
        <v>9781118328286</v>
      </c>
      <c r="E2975" s="2">
        <v>832455</v>
      </c>
    </row>
    <row r="2976" spans="1:5" x14ac:dyDescent="0.25">
      <c r="A2976" s="4">
        <v>41919.157476851855</v>
      </c>
      <c r="B2976" s="2" t="s">
        <v>3407</v>
      </c>
      <c r="C2976" s="2" t="s">
        <v>5</v>
      </c>
      <c r="D2976" s="2" t="str">
        <f>"9780857007391"</f>
        <v>9780857007391</v>
      </c>
      <c r="E2976" s="2">
        <v>1581560</v>
      </c>
    </row>
    <row r="2977" spans="1:5" x14ac:dyDescent="0.25">
      <c r="A2977" s="4">
        <v>41987.645972222221</v>
      </c>
      <c r="B2977" s="2" t="s">
        <v>2313</v>
      </c>
      <c r="C2977" s="2" t="s">
        <v>5</v>
      </c>
      <c r="D2977" s="2" t="str">
        <f>"9781846426155"</f>
        <v>9781846426155</v>
      </c>
      <c r="E2977" s="2">
        <v>334149</v>
      </c>
    </row>
    <row r="2978" spans="1:5" x14ac:dyDescent="0.25">
      <c r="A2978" s="4">
        <v>41994.901932870373</v>
      </c>
      <c r="B2978" s="2" t="s">
        <v>954</v>
      </c>
      <c r="C2978" s="2" t="s">
        <v>119</v>
      </c>
      <c r="D2978" s="2" t="str">
        <f>"9780520940970"</f>
        <v>9780520940970</v>
      </c>
      <c r="E2978" s="2">
        <v>345555</v>
      </c>
    </row>
    <row r="2979" spans="1:5" x14ac:dyDescent="0.25">
      <c r="A2979" s="4">
        <v>41994.896122685182</v>
      </c>
      <c r="B2979" s="2" t="s">
        <v>1558</v>
      </c>
      <c r="C2979" s="2" t="s">
        <v>28</v>
      </c>
      <c r="D2979" s="2" t="str">
        <f>"9780253005298"</f>
        <v>9780253005298</v>
      </c>
      <c r="E2979" s="2">
        <v>670286</v>
      </c>
    </row>
    <row r="2980" spans="1:5" x14ac:dyDescent="0.25">
      <c r="A2980" s="4">
        <v>41994.908217592594</v>
      </c>
      <c r="B2980" s="2" t="s">
        <v>233</v>
      </c>
      <c r="C2980" s="2" t="s">
        <v>26</v>
      </c>
      <c r="D2980" s="2" t="str">
        <f>"9780470918722"</f>
        <v>9780470918722</v>
      </c>
      <c r="E2980" s="2">
        <v>698896</v>
      </c>
    </row>
    <row r="2981" spans="1:5" x14ac:dyDescent="0.25">
      <c r="A2981" s="4">
        <v>41994.908182870371</v>
      </c>
      <c r="B2981" s="2" t="s">
        <v>336</v>
      </c>
      <c r="C2981" s="2" t="s">
        <v>26</v>
      </c>
      <c r="D2981" s="2" t="str">
        <f>"9780470610428"</f>
        <v>9780470610428</v>
      </c>
      <c r="E2981" s="2">
        <v>477705</v>
      </c>
    </row>
    <row r="2982" spans="1:5" x14ac:dyDescent="0.25">
      <c r="A2982" s="4">
        <v>41920.511284722219</v>
      </c>
      <c r="B2982" s="2" t="s">
        <v>3371</v>
      </c>
      <c r="C2982" s="2" t="s">
        <v>26</v>
      </c>
      <c r="D2982" s="2" t="str">
        <f>"9781118102190"</f>
        <v>9781118102190</v>
      </c>
      <c r="E2982" s="2">
        <v>693484</v>
      </c>
    </row>
    <row r="2983" spans="1:5" x14ac:dyDescent="0.25">
      <c r="A2983" s="4">
        <v>41985.436157407406</v>
      </c>
      <c r="B2983" s="2" t="s">
        <v>2339</v>
      </c>
      <c r="C2983" s="2" t="s">
        <v>26</v>
      </c>
      <c r="D2983" s="2" t="str">
        <f>"9781118127605"</f>
        <v>9781118127605</v>
      </c>
      <c r="E2983" s="2">
        <v>817336</v>
      </c>
    </row>
    <row r="2984" spans="1:5" x14ac:dyDescent="0.25">
      <c r="A2984" s="4">
        <v>41994.905601851853</v>
      </c>
      <c r="B2984" s="2" t="s">
        <v>541</v>
      </c>
      <c r="C2984" s="2" t="s">
        <v>96</v>
      </c>
      <c r="D2984" s="2" t="str">
        <f>"9780807869109"</f>
        <v>9780807869109</v>
      </c>
      <c r="E2984" s="2">
        <v>837893</v>
      </c>
    </row>
    <row r="2985" spans="1:5" x14ac:dyDescent="0.25">
      <c r="A2985" s="4">
        <v>41994.905590277776</v>
      </c>
      <c r="B2985" s="2" t="s">
        <v>572</v>
      </c>
      <c r="C2985" s="2" t="s">
        <v>96</v>
      </c>
      <c r="D2985" s="2" t="str">
        <f>"9780807877807"</f>
        <v>9780807877807</v>
      </c>
      <c r="E2985" s="2">
        <v>673637</v>
      </c>
    </row>
    <row r="2986" spans="1:5" x14ac:dyDescent="0.25">
      <c r="A2986" s="4">
        <v>41994.905636574076</v>
      </c>
      <c r="B2986" s="2" t="s">
        <v>429</v>
      </c>
      <c r="C2986" s="2" t="s">
        <v>424</v>
      </c>
      <c r="D2986" s="2" t="str">
        <f>"9781469617671"</f>
        <v>9781469617671</v>
      </c>
      <c r="E2986" s="2">
        <v>1754643</v>
      </c>
    </row>
    <row r="2987" spans="1:5" x14ac:dyDescent="0.25">
      <c r="A2987" s="4">
        <v>41994.905590277776</v>
      </c>
      <c r="B2987" s="2" t="s">
        <v>549</v>
      </c>
      <c r="C2987" s="2" t="s">
        <v>96</v>
      </c>
      <c r="D2987" s="2" t="str">
        <f>"9780807882733"</f>
        <v>9780807882733</v>
      </c>
      <c r="E2987" s="2">
        <v>793352</v>
      </c>
    </row>
    <row r="2988" spans="1:5" x14ac:dyDescent="0.25">
      <c r="A2988" s="4">
        <v>41911.478912037041</v>
      </c>
      <c r="B2988" s="2" t="s">
        <v>3601</v>
      </c>
      <c r="C2988" s="2" t="s">
        <v>36</v>
      </c>
      <c r="D2988" s="2" t="str">
        <f>"9780786490677"</f>
        <v>9780786490677</v>
      </c>
      <c r="E2988" s="2">
        <v>881882</v>
      </c>
    </row>
    <row r="2989" spans="1:5" x14ac:dyDescent="0.25">
      <c r="A2989" s="4">
        <v>41906.040451388886</v>
      </c>
      <c r="B2989" s="2" t="s">
        <v>3721</v>
      </c>
      <c r="C2989" s="2" t="s">
        <v>63</v>
      </c>
      <c r="D2989" s="2" t="str">
        <f>"9781400850945"</f>
        <v>9781400850945</v>
      </c>
      <c r="E2989" s="2">
        <v>1573475</v>
      </c>
    </row>
    <row r="2990" spans="1:5" x14ac:dyDescent="0.25">
      <c r="A2990" s="4">
        <v>41919.787858796299</v>
      </c>
      <c r="B2990" s="2" t="s">
        <v>3385</v>
      </c>
      <c r="C2990" s="2" t="s">
        <v>36</v>
      </c>
      <c r="D2990" s="2" t="str">
        <f>"9780786491360"</f>
        <v>9780786491360</v>
      </c>
      <c r="E2990" s="2">
        <v>881886</v>
      </c>
    </row>
    <row r="2991" spans="1:5" x14ac:dyDescent="0.25">
      <c r="A2991" s="4">
        <v>41994.899097222224</v>
      </c>
      <c r="B2991" s="2" t="s">
        <v>1253</v>
      </c>
      <c r="C2991" s="2" t="s">
        <v>63</v>
      </c>
      <c r="D2991" s="2" t="str">
        <f>"9781400839162"</f>
        <v>9781400839162</v>
      </c>
      <c r="E2991" s="2">
        <v>832661</v>
      </c>
    </row>
    <row r="2992" spans="1:5" x14ac:dyDescent="0.25">
      <c r="A2992" s="4">
        <v>41975.358761574076</v>
      </c>
      <c r="B2992" s="2" t="s">
        <v>2866</v>
      </c>
      <c r="C2992" s="2" t="s">
        <v>36</v>
      </c>
      <c r="D2992" s="2" t="str">
        <f>"9781476612935"</f>
        <v>9781476612935</v>
      </c>
      <c r="E2992" s="2">
        <v>1412197</v>
      </c>
    </row>
    <row r="2993" spans="1:5" x14ac:dyDescent="0.25">
      <c r="A2993" s="4">
        <v>41913.726087962961</v>
      </c>
      <c r="B2993" s="2" t="s">
        <v>3534</v>
      </c>
      <c r="C2993" s="2" t="s">
        <v>26</v>
      </c>
      <c r="D2993" s="2" t="str">
        <f>"9781444390698"</f>
        <v>9781444390698</v>
      </c>
      <c r="E2993" s="2">
        <v>700659</v>
      </c>
    </row>
    <row r="2994" spans="1:5" x14ac:dyDescent="0.25">
      <c r="A2994" s="4">
        <v>41898.235069444447</v>
      </c>
      <c r="B2994" s="2" t="s">
        <v>3867</v>
      </c>
      <c r="C2994" s="2" t="s">
        <v>26</v>
      </c>
      <c r="D2994" s="2" t="str">
        <f>"9781118305867"</f>
        <v>9781118305867</v>
      </c>
      <c r="E2994" s="2">
        <v>836603</v>
      </c>
    </row>
    <row r="2995" spans="1:5" x14ac:dyDescent="0.25">
      <c r="A2995" s="4">
        <v>41974.898310185185</v>
      </c>
      <c r="B2995" s="2" t="s">
        <v>2897</v>
      </c>
      <c r="C2995" s="2" t="s">
        <v>26</v>
      </c>
      <c r="D2995" s="2" t="str">
        <f>"9780470890356"</f>
        <v>9780470890356</v>
      </c>
      <c r="E2995" s="2">
        <v>589149</v>
      </c>
    </row>
    <row r="2996" spans="1:5" x14ac:dyDescent="0.25">
      <c r="A2996" s="4">
        <v>41994.884988425925</v>
      </c>
      <c r="B2996" s="2" t="s">
        <v>2129</v>
      </c>
      <c r="C2996" s="2" t="s">
        <v>18</v>
      </c>
      <c r="D2996" s="2" t="str">
        <f>"9781441108494"</f>
        <v>9781441108494</v>
      </c>
      <c r="E2996" s="2">
        <v>601723</v>
      </c>
    </row>
    <row r="2997" spans="1:5" x14ac:dyDescent="0.25">
      <c r="A2997" s="4">
        <v>41975.977916666663</v>
      </c>
      <c r="B2997" s="2" t="s">
        <v>2745</v>
      </c>
      <c r="C2997" s="2" t="s">
        <v>119</v>
      </c>
      <c r="D2997" s="2" t="str">
        <f>"9780520951433"</f>
        <v>9780520951433</v>
      </c>
      <c r="E2997" s="2">
        <v>947746</v>
      </c>
    </row>
    <row r="2998" spans="1:5" x14ac:dyDescent="0.25">
      <c r="A2998" s="4">
        <v>41934.882326388892</v>
      </c>
      <c r="B2998" s="2" t="s">
        <v>3044</v>
      </c>
      <c r="C2998" s="2" t="s">
        <v>63</v>
      </c>
      <c r="D2998" s="2" t="str">
        <f>"9781400848041"</f>
        <v>9781400848041</v>
      </c>
      <c r="E2998" s="2">
        <v>1213973</v>
      </c>
    </row>
    <row r="2999" spans="1:5" x14ac:dyDescent="0.25">
      <c r="A2999" s="4">
        <v>41994.892939814818</v>
      </c>
      <c r="B2999" s="2" t="s">
        <v>1656</v>
      </c>
      <c r="C2999" s="2" t="s">
        <v>16</v>
      </c>
      <c r="D2999" s="2" t="str">
        <f>"9781462511129"</f>
        <v>9781462511129</v>
      </c>
      <c r="E2999" s="2">
        <v>1191578</v>
      </c>
    </row>
    <row r="3000" spans="1:5" x14ac:dyDescent="0.25">
      <c r="A3000" s="4">
        <v>41994.901932870373</v>
      </c>
      <c r="B3000" s="2" t="s">
        <v>953</v>
      </c>
      <c r="C3000" s="2" t="s">
        <v>119</v>
      </c>
      <c r="D3000" s="2" t="str">
        <f>"9780520941182"</f>
        <v>9780520941182</v>
      </c>
      <c r="E3000" s="2">
        <v>345556</v>
      </c>
    </row>
    <row r="3001" spans="1:5" x14ac:dyDescent="0.25">
      <c r="A3001" s="4">
        <v>41918.586134259262</v>
      </c>
      <c r="B3001" s="2" t="s">
        <v>3426</v>
      </c>
      <c r="C3001" s="2" t="s">
        <v>7</v>
      </c>
      <c r="D3001" s="2" t="str">
        <f>"9781483303628"</f>
        <v>9781483303628</v>
      </c>
      <c r="E3001" s="2">
        <v>1173427</v>
      </c>
    </row>
    <row r="3002" spans="1:5" x14ac:dyDescent="0.25">
      <c r="A3002" s="4">
        <v>41994.892939814818</v>
      </c>
      <c r="B3002" s="2" t="s">
        <v>1653</v>
      </c>
      <c r="C3002" s="2" t="s">
        <v>16</v>
      </c>
      <c r="D3002" s="2" t="str">
        <f>"9781462510535"</f>
        <v>9781462510535</v>
      </c>
      <c r="E3002" s="2">
        <v>1214111</v>
      </c>
    </row>
    <row r="3003" spans="1:5" x14ac:dyDescent="0.25">
      <c r="A3003" s="4">
        <v>41994.905590277776</v>
      </c>
      <c r="B3003" s="2" t="s">
        <v>576</v>
      </c>
      <c r="C3003" s="2" t="s">
        <v>96</v>
      </c>
      <c r="D3003" s="2" t="str">
        <f>"9780807882320"</f>
        <v>9780807882320</v>
      </c>
      <c r="E3003" s="2">
        <v>655811</v>
      </c>
    </row>
    <row r="3004" spans="1:5" x14ac:dyDescent="0.25">
      <c r="A3004" s="4">
        <v>41981.59065972222</v>
      </c>
      <c r="B3004" s="2" t="s">
        <v>2473</v>
      </c>
      <c r="C3004" s="2" t="s">
        <v>63</v>
      </c>
      <c r="D3004" s="2" t="str">
        <f>"9781400851409"</f>
        <v>9781400851409</v>
      </c>
      <c r="E3004" s="2">
        <v>1637567</v>
      </c>
    </row>
    <row r="3005" spans="1:5" x14ac:dyDescent="0.25">
      <c r="A3005" s="4">
        <v>41994.896134259259</v>
      </c>
      <c r="B3005" s="2" t="s">
        <v>1515</v>
      </c>
      <c r="C3005" s="2" t="s">
        <v>28</v>
      </c>
      <c r="D3005" s="2" t="str">
        <f>"9780253005854"</f>
        <v>9780253005854</v>
      </c>
      <c r="E3005" s="2">
        <v>816852</v>
      </c>
    </row>
    <row r="3006" spans="1:5" x14ac:dyDescent="0.25">
      <c r="A3006" s="4">
        <v>41994.899050925924</v>
      </c>
      <c r="B3006" s="2" t="s">
        <v>1420</v>
      </c>
      <c r="C3006" s="2" t="s">
        <v>63</v>
      </c>
      <c r="D3006" s="2" t="str">
        <f>"9781400830053"</f>
        <v>9781400830053</v>
      </c>
      <c r="E3006" s="2">
        <v>457705</v>
      </c>
    </row>
    <row r="3007" spans="1:5" x14ac:dyDescent="0.25">
      <c r="A3007" s="4">
        <v>41975.599629629629</v>
      </c>
      <c r="B3007" s="2" t="s">
        <v>2820</v>
      </c>
      <c r="C3007" s="2" t="s">
        <v>5</v>
      </c>
      <c r="D3007" s="2" t="str">
        <f>"9780857011534"</f>
        <v>9780857011534</v>
      </c>
      <c r="E3007" s="2">
        <v>1581565</v>
      </c>
    </row>
    <row r="3008" spans="1:5" x14ac:dyDescent="0.25">
      <c r="A3008" s="4">
        <v>41976.490393518521</v>
      </c>
      <c r="B3008" s="2" t="s">
        <v>2700</v>
      </c>
      <c r="C3008" s="2" t="s">
        <v>36</v>
      </c>
      <c r="D3008" s="2" t="str">
        <f>"9780786483044"</f>
        <v>9780786483044</v>
      </c>
      <c r="E3008" s="2">
        <v>1791740</v>
      </c>
    </row>
    <row r="3009" spans="1:5" x14ac:dyDescent="0.25">
      <c r="A3009" s="4">
        <v>41994.901944444442</v>
      </c>
      <c r="B3009" s="2" t="s">
        <v>888</v>
      </c>
      <c r="C3009" s="2" t="s">
        <v>119</v>
      </c>
      <c r="D3009" s="2" t="str">
        <f>"9780520948938"</f>
        <v>9780520948938</v>
      </c>
      <c r="E3009" s="2">
        <v>656351</v>
      </c>
    </row>
    <row r="3010" spans="1:5" x14ac:dyDescent="0.25">
      <c r="A3010" s="4">
        <v>41868.925451388888</v>
      </c>
      <c r="B3010" s="2" t="s">
        <v>3953</v>
      </c>
      <c r="C3010" s="2" t="s">
        <v>160</v>
      </c>
      <c r="D3010" s="2" t="str">
        <f>"9780470617717"</f>
        <v>9780470617717</v>
      </c>
      <c r="E3010" s="2">
        <v>510188</v>
      </c>
    </row>
    <row r="3011" spans="1:5" x14ac:dyDescent="0.25">
      <c r="A3011" s="4">
        <v>41994.90824074074</v>
      </c>
      <c r="B3011" s="2" t="s">
        <v>195</v>
      </c>
      <c r="C3011" s="2" t="s">
        <v>26</v>
      </c>
      <c r="D3011" s="2" t="str">
        <f>"9781118218587"</f>
        <v>9781118218587</v>
      </c>
      <c r="E3011" s="2">
        <v>817911</v>
      </c>
    </row>
    <row r="3012" spans="1:5" x14ac:dyDescent="0.25">
      <c r="A3012" s="4">
        <v>41994.908182870371</v>
      </c>
      <c r="B3012" s="2" t="s">
        <v>352</v>
      </c>
      <c r="C3012" s="2" t="s">
        <v>26</v>
      </c>
      <c r="D3012" s="2" t="str">
        <f>"9780470498040"</f>
        <v>9780470498040</v>
      </c>
      <c r="E3012" s="2">
        <v>448802</v>
      </c>
    </row>
    <row r="3013" spans="1:5" x14ac:dyDescent="0.25">
      <c r="A3013" s="4">
        <v>41974.764236111114</v>
      </c>
      <c r="B3013" s="2" t="s">
        <v>2918</v>
      </c>
      <c r="C3013" s="2" t="s">
        <v>26</v>
      </c>
      <c r="D3013" s="2" t="str">
        <f>"9780470131527"</f>
        <v>9780470131527</v>
      </c>
      <c r="E3013" s="2">
        <v>291449</v>
      </c>
    </row>
    <row r="3014" spans="1:5" x14ac:dyDescent="0.25">
      <c r="A3014" s="4">
        <v>41994.908171296294</v>
      </c>
      <c r="B3014" s="2" t="s">
        <v>379</v>
      </c>
      <c r="C3014" s="2" t="s">
        <v>26</v>
      </c>
      <c r="D3014" s="2" t="str">
        <f>"9780470179567"</f>
        <v>9780470179567</v>
      </c>
      <c r="E3014" s="2">
        <v>331381</v>
      </c>
    </row>
    <row r="3015" spans="1:5" x14ac:dyDescent="0.25">
      <c r="A3015" s="4">
        <v>41911.72011574074</v>
      </c>
      <c r="B3015" s="2" t="s">
        <v>3588</v>
      </c>
      <c r="C3015" s="2" t="s">
        <v>7</v>
      </c>
      <c r="D3015" s="2" t="str">
        <f>"9781452245379"</f>
        <v>9781452245379</v>
      </c>
      <c r="E3015" s="2">
        <v>997218</v>
      </c>
    </row>
    <row r="3016" spans="1:5" x14ac:dyDescent="0.25">
      <c r="A3016" s="4">
        <v>41994.908229166664</v>
      </c>
      <c r="B3016" s="2" t="s">
        <v>211</v>
      </c>
      <c r="C3016" s="2" t="s">
        <v>26</v>
      </c>
      <c r="D3016" s="2" t="str">
        <f>"9781118113349"</f>
        <v>9781118113349</v>
      </c>
      <c r="E3016" s="2">
        <v>708479</v>
      </c>
    </row>
    <row r="3017" spans="1:5" x14ac:dyDescent="0.25">
      <c r="A3017" s="4">
        <v>41925.797118055554</v>
      </c>
      <c r="B3017" s="2" t="s">
        <v>3265</v>
      </c>
      <c r="C3017" s="2" t="s">
        <v>16</v>
      </c>
      <c r="D3017" s="2" t="str">
        <f>"9781462502448"</f>
        <v>9781462502448</v>
      </c>
      <c r="E3017" s="2">
        <v>793715</v>
      </c>
    </row>
    <row r="3018" spans="1:5" x14ac:dyDescent="0.25">
      <c r="A3018" s="4">
        <v>41904.916643518518</v>
      </c>
      <c r="B3018" s="2" t="s">
        <v>3758</v>
      </c>
      <c r="C3018" s="2" t="s">
        <v>16</v>
      </c>
      <c r="D3018" s="2" t="str">
        <f>"9781462510337"</f>
        <v>9781462510337</v>
      </c>
      <c r="E3018" s="2">
        <v>1186392</v>
      </c>
    </row>
    <row r="3019" spans="1:5" x14ac:dyDescent="0.25">
      <c r="A3019" s="4">
        <v>41994.896157407406</v>
      </c>
      <c r="B3019" s="2" t="s">
        <v>1482</v>
      </c>
      <c r="C3019" s="2" t="s">
        <v>28</v>
      </c>
      <c r="D3019" s="2" t="str">
        <f>"9780253008299"</f>
        <v>9780253008299</v>
      </c>
      <c r="E3019" s="2">
        <v>1187139</v>
      </c>
    </row>
    <row r="3020" spans="1:5" x14ac:dyDescent="0.25">
      <c r="A3020" s="4">
        <v>41975.961655092593</v>
      </c>
      <c r="B3020" s="2" t="s">
        <v>2748</v>
      </c>
      <c r="C3020" s="2" t="s">
        <v>26</v>
      </c>
      <c r="D3020" s="2" t="str">
        <f>"9780470593059"</f>
        <v>9780470593059</v>
      </c>
      <c r="E3020" s="2">
        <v>479855</v>
      </c>
    </row>
    <row r="3021" spans="1:5" x14ac:dyDescent="0.25">
      <c r="A3021" s="4">
        <v>41974.68818287037</v>
      </c>
      <c r="B3021" s="2" t="s">
        <v>2931</v>
      </c>
      <c r="C3021" s="2" t="s">
        <v>160</v>
      </c>
      <c r="D3021" s="2" t="str">
        <f>"9780470612330"</f>
        <v>9780470612330</v>
      </c>
      <c r="E3021" s="2">
        <v>516954</v>
      </c>
    </row>
    <row r="3022" spans="1:5" x14ac:dyDescent="0.25">
      <c r="A3022" s="4">
        <v>41994.902025462965</v>
      </c>
      <c r="B3022" s="2" t="s">
        <v>642</v>
      </c>
      <c r="C3022" s="2" t="s">
        <v>119</v>
      </c>
      <c r="D3022" s="2" t="str">
        <f>"9780520959385"</f>
        <v>9780520959385</v>
      </c>
      <c r="E3022" s="2">
        <v>1711034</v>
      </c>
    </row>
    <row r="3023" spans="1:5" x14ac:dyDescent="0.25">
      <c r="A3023" s="4">
        <v>41987.588819444441</v>
      </c>
      <c r="B3023" s="2" t="s">
        <v>2316</v>
      </c>
      <c r="C3023" s="2" t="s">
        <v>36</v>
      </c>
      <c r="D3023" s="2" t="str">
        <f>"9780786492640"</f>
        <v>9780786492640</v>
      </c>
      <c r="E3023" s="2">
        <v>978060</v>
      </c>
    </row>
    <row r="3024" spans="1:5" x14ac:dyDescent="0.25">
      <c r="A3024" s="4">
        <v>41985.486840277779</v>
      </c>
      <c r="B3024" s="2" t="s">
        <v>2336</v>
      </c>
      <c r="C3024" s="2" t="s">
        <v>36</v>
      </c>
      <c r="D3024" s="2" t="str">
        <f>"9780786491469"</f>
        <v>9780786491469</v>
      </c>
      <c r="E3024" s="2">
        <v>995799</v>
      </c>
    </row>
    <row r="3025" spans="1:5" x14ac:dyDescent="0.25">
      <c r="A3025" s="4">
        <v>41994.892905092594</v>
      </c>
      <c r="B3025" s="2" t="s">
        <v>1752</v>
      </c>
      <c r="C3025" s="2" t="s">
        <v>16</v>
      </c>
      <c r="D3025" s="2" t="str">
        <f>"9781606235317"</f>
        <v>9781606235317</v>
      </c>
      <c r="E3025" s="2">
        <v>471125</v>
      </c>
    </row>
    <row r="3026" spans="1:5" x14ac:dyDescent="0.25">
      <c r="A3026" s="4">
        <v>41980.531527777777</v>
      </c>
      <c r="B3026" s="2" t="s">
        <v>2515</v>
      </c>
      <c r="C3026" s="2" t="s">
        <v>26</v>
      </c>
      <c r="D3026" s="2" t="str">
        <f>"9781118146705"</f>
        <v>9781118146705</v>
      </c>
      <c r="E3026" s="2">
        <v>817362</v>
      </c>
    </row>
    <row r="3027" spans="1:5" x14ac:dyDescent="0.25">
      <c r="A3027" s="4">
        <v>41908.726782407408</v>
      </c>
      <c r="B3027" s="2" t="s">
        <v>3640</v>
      </c>
      <c r="C3027" s="2" t="s">
        <v>7</v>
      </c>
      <c r="D3027" s="2" t="str">
        <f>"9781452222271"</f>
        <v>9781452222271</v>
      </c>
      <c r="E3027" s="2">
        <v>1051599</v>
      </c>
    </row>
    <row r="3028" spans="1:5" x14ac:dyDescent="0.25">
      <c r="A3028" s="4">
        <v>41994.892893518518</v>
      </c>
      <c r="B3028" s="2" t="s">
        <v>1769</v>
      </c>
      <c r="C3028" s="2" t="s">
        <v>16</v>
      </c>
      <c r="D3028" s="2" t="str">
        <f>"9781606232309"</f>
        <v>9781606232309</v>
      </c>
      <c r="E3028" s="2">
        <v>362584</v>
      </c>
    </row>
    <row r="3029" spans="1:5" x14ac:dyDescent="0.25">
      <c r="A3029" s="4">
        <v>41994.892928240741</v>
      </c>
      <c r="B3029" s="2" t="s">
        <v>1677</v>
      </c>
      <c r="C3029" s="2" t="s">
        <v>16</v>
      </c>
      <c r="D3029" s="2" t="str">
        <f>"9781462506439"</f>
        <v>9781462506439</v>
      </c>
      <c r="E3029" s="2">
        <v>1024333</v>
      </c>
    </row>
    <row r="3030" spans="1:5" x14ac:dyDescent="0.25">
      <c r="A3030" s="4">
        <v>41922.331770833334</v>
      </c>
      <c r="B3030" s="2" t="s">
        <v>3324</v>
      </c>
      <c r="C3030" s="2" t="s">
        <v>2404</v>
      </c>
      <c r="D3030" s="2" t="str">
        <f>"9780335245949"</f>
        <v>9780335245949</v>
      </c>
      <c r="E3030" s="2">
        <v>1336595</v>
      </c>
    </row>
    <row r="3031" spans="1:5" x14ac:dyDescent="0.25">
      <c r="A3031" s="4">
        <v>41977.58021990741</v>
      </c>
      <c r="B3031" s="2" t="s">
        <v>2606</v>
      </c>
      <c r="C3031" s="2" t="s">
        <v>2404</v>
      </c>
      <c r="D3031" s="2" t="str">
        <f>"9780335246199"</f>
        <v>9780335246199</v>
      </c>
      <c r="E3031" s="2">
        <v>1142864</v>
      </c>
    </row>
    <row r="3032" spans="1:5" x14ac:dyDescent="0.25">
      <c r="A3032" s="4">
        <v>41994.892939814818</v>
      </c>
      <c r="B3032" s="2" t="s">
        <v>1668</v>
      </c>
      <c r="C3032" s="2" t="s">
        <v>16</v>
      </c>
      <c r="D3032" s="2" t="str">
        <f>"9781462507948"</f>
        <v>9781462507948</v>
      </c>
      <c r="E3032" s="2">
        <v>1069228</v>
      </c>
    </row>
    <row r="3033" spans="1:5" x14ac:dyDescent="0.25">
      <c r="A3033" s="4">
        <v>41994.892928240741</v>
      </c>
      <c r="B3033" s="2" t="s">
        <v>1673</v>
      </c>
      <c r="C3033" s="2" t="s">
        <v>16</v>
      </c>
      <c r="D3033" s="2" t="str">
        <f>"9781462507672"</f>
        <v>9781462507672</v>
      </c>
      <c r="E3033" s="2">
        <v>1034771</v>
      </c>
    </row>
    <row r="3034" spans="1:5" x14ac:dyDescent="0.25">
      <c r="A3034" s="4">
        <v>41994.896168981482</v>
      </c>
      <c r="B3034" s="2" t="s">
        <v>1457</v>
      </c>
      <c r="C3034" s="2" t="s">
        <v>28</v>
      </c>
      <c r="D3034" s="2" t="str">
        <f>"9780253011466"</f>
        <v>9780253011466</v>
      </c>
      <c r="E3034" s="2">
        <v>1566362</v>
      </c>
    </row>
    <row r="3035" spans="1:5" x14ac:dyDescent="0.25">
      <c r="A3035" s="4">
        <v>41984.595590277779</v>
      </c>
      <c r="B3035" s="2" t="s">
        <v>2365</v>
      </c>
      <c r="C3035" s="2" t="s">
        <v>119</v>
      </c>
      <c r="D3035" s="2" t="str">
        <f>"9780520958333"</f>
        <v>9780520958333</v>
      </c>
      <c r="E3035" s="2">
        <v>1711051</v>
      </c>
    </row>
    <row r="3036" spans="1:5" x14ac:dyDescent="0.25">
      <c r="A3036" s="4">
        <v>41981.541446759256</v>
      </c>
      <c r="B3036" s="2" t="s">
        <v>2478</v>
      </c>
      <c r="C3036" s="2" t="s">
        <v>16</v>
      </c>
      <c r="D3036" s="2" t="str">
        <f>"9781593856885"</f>
        <v>9781593856885</v>
      </c>
      <c r="E3036" s="2">
        <v>330593</v>
      </c>
    </row>
    <row r="3037" spans="1:5" x14ac:dyDescent="0.25">
      <c r="A3037" s="4">
        <v>41994.885023148148</v>
      </c>
      <c r="B3037" s="2" t="s">
        <v>2050</v>
      </c>
      <c r="C3037" s="2" t="s">
        <v>74</v>
      </c>
      <c r="D3037" s="2" t="str">
        <f>"9781441181787"</f>
        <v>9781441181787</v>
      </c>
      <c r="E3037" s="2">
        <v>967737</v>
      </c>
    </row>
    <row r="3038" spans="1:5" x14ac:dyDescent="0.25">
      <c r="A3038" s="4">
        <v>41994.89607638889</v>
      </c>
      <c r="B3038" s="2" t="s">
        <v>1619</v>
      </c>
      <c r="C3038" s="2" t="s">
        <v>28</v>
      </c>
      <c r="D3038" s="2" t="str">
        <f>"9780253109101"</f>
        <v>9780253109101</v>
      </c>
      <c r="E3038" s="2">
        <v>128173</v>
      </c>
    </row>
    <row r="3039" spans="1:5" x14ac:dyDescent="0.25">
      <c r="A3039" s="4">
        <v>41994.899074074077</v>
      </c>
      <c r="B3039" s="2" t="s">
        <v>1330</v>
      </c>
      <c r="C3039" s="2" t="s">
        <v>63</v>
      </c>
      <c r="D3039" s="2" t="str">
        <f>"9781400831814"</f>
        <v>9781400831814</v>
      </c>
      <c r="E3039" s="2">
        <v>662359</v>
      </c>
    </row>
    <row r="3040" spans="1:5" x14ac:dyDescent="0.25">
      <c r="A3040" s="4">
        <v>41994.885034722225</v>
      </c>
      <c r="B3040" s="2" t="s">
        <v>1997</v>
      </c>
      <c r="C3040" s="2" t="s">
        <v>74</v>
      </c>
      <c r="D3040" s="2" t="str">
        <f>"9781623561642"</f>
        <v>9781623561642</v>
      </c>
      <c r="E3040" s="2">
        <v>1363748</v>
      </c>
    </row>
    <row r="3041" spans="1:5" x14ac:dyDescent="0.25">
      <c r="A3041" s="4">
        <v>41994.905590277776</v>
      </c>
      <c r="B3041" s="2" t="s">
        <v>561</v>
      </c>
      <c r="C3041" s="2" t="s">
        <v>96</v>
      </c>
      <c r="D3041" s="2" t="str">
        <f>"9780807877715"</f>
        <v>9780807877715</v>
      </c>
      <c r="E3041" s="2">
        <v>690711</v>
      </c>
    </row>
    <row r="3042" spans="1:5" x14ac:dyDescent="0.25">
      <c r="A3042" s="4">
        <v>41985.644583333335</v>
      </c>
      <c r="B3042" s="2" t="s">
        <v>2330</v>
      </c>
      <c r="C3042" s="2" t="s">
        <v>63</v>
      </c>
      <c r="D3042" s="2" t="str">
        <f>"9781400828593"</f>
        <v>9781400828593</v>
      </c>
      <c r="E3042" s="2">
        <v>457903</v>
      </c>
    </row>
    <row r="3043" spans="1:5" x14ac:dyDescent="0.25">
      <c r="A3043" s="4">
        <v>41899.831875000003</v>
      </c>
      <c r="B3043" s="2" t="s">
        <v>3848</v>
      </c>
      <c r="C3043" s="2" t="s">
        <v>7</v>
      </c>
      <c r="D3043" s="2" t="str">
        <f>"9781452253923"</f>
        <v>9781452253923</v>
      </c>
      <c r="E3043" s="2">
        <v>997164</v>
      </c>
    </row>
    <row r="3044" spans="1:5" x14ac:dyDescent="0.25">
      <c r="A3044" s="4">
        <v>41994.905578703707</v>
      </c>
      <c r="B3044" s="2" t="s">
        <v>604</v>
      </c>
      <c r="C3044" s="2" t="s">
        <v>96</v>
      </c>
      <c r="D3044" s="2" t="str">
        <f>"9780807888568"</f>
        <v>9780807888568</v>
      </c>
      <c r="E3044" s="2">
        <v>454832</v>
      </c>
    </row>
    <row r="3045" spans="1:5" x14ac:dyDescent="0.25">
      <c r="A3045" s="4">
        <v>41974.573738425926</v>
      </c>
      <c r="B3045" s="2" t="s">
        <v>2954</v>
      </c>
      <c r="C3045" s="2" t="s">
        <v>119</v>
      </c>
      <c r="D3045" s="2" t="str">
        <f>"9780520930612"</f>
        <v>9780520930612</v>
      </c>
      <c r="E3045" s="2">
        <v>847468</v>
      </c>
    </row>
    <row r="3046" spans="1:5" x14ac:dyDescent="0.25">
      <c r="A3046" s="4">
        <v>41914.004849537036</v>
      </c>
      <c r="B3046" s="2" t="s">
        <v>3525</v>
      </c>
      <c r="C3046" s="2" t="s">
        <v>18</v>
      </c>
      <c r="D3046" s="2" t="str">
        <f>"9781847883186"</f>
        <v>9781847883186</v>
      </c>
      <c r="E3046" s="2">
        <v>487185</v>
      </c>
    </row>
    <row r="3047" spans="1:5" x14ac:dyDescent="0.25">
      <c r="A3047" s="4">
        <v>41994.885023148148</v>
      </c>
      <c r="B3047" s="2" t="s">
        <v>2028</v>
      </c>
      <c r="C3047" s="2" t="s">
        <v>74</v>
      </c>
      <c r="D3047" s="2" t="str">
        <f>"9781441127822"</f>
        <v>9781441127822</v>
      </c>
      <c r="E3047" s="2">
        <v>1164370</v>
      </c>
    </row>
    <row r="3048" spans="1:5" x14ac:dyDescent="0.25">
      <c r="A3048" s="4">
        <v>41877.566574074073</v>
      </c>
      <c r="B3048" s="2" t="s">
        <v>3934</v>
      </c>
      <c r="C3048" s="2" t="s">
        <v>2283</v>
      </c>
      <c r="D3048" s="2" t="str">
        <f>"9789027285584"</f>
        <v>9789027285584</v>
      </c>
      <c r="E3048" s="2">
        <v>673106</v>
      </c>
    </row>
    <row r="3049" spans="1:5" x14ac:dyDescent="0.25">
      <c r="A3049" s="4">
        <v>41982.404189814813</v>
      </c>
      <c r="B3049" s="2" t="s">
        <v>2445</v>
      </c>
      <c r="C3049" s="2" t="s">
        <v>18</v>
      </c>
      <c r="D3049" s="2" t="str">
        <f>"9780567129666"</f>
        <v>9780567129666</v>
      </c>
      <c r="E3049" s="2">
        <v>1650677</v>
      </c>
    </row>
    <row r="3050" spans="1:5" x14ac:dyDescent="0.25">
      <c r="A3050" s="4">
        <v>41994.902013888888</v>
      </c>
      <c r="B3050" s="2" t="s">
        <v>677</v>
      </c>
      <c r="C3050" s="2" t="s">
        <v>119</v>
      </c>
      <c r="D3050" s="2" t="str">
        <f>"9780520957626"</f>
        <v>9780520957626</v>
      </c>
      <c r="E3050" s="2">
        <v>1594281</v>
      </c>
    </row>
    <row r="3051" spans="1:5" x14ac:dyDescent="0.25">
      <c r="A3051" s="4">
        <v>41994.896168981482</v>
      </c>
      <c r="B3051" s="2" t="s">
        <v>1467</v>
      </c>
      <c r="C3051" s="2" t="s">
        <v>28</v>
      </c>
      <c r="D3051" s="2" t="str">
        <f>"9780253010506"</f>
        <v>9780253010506</v>
      </c>
      <c r="E3051" s="2">
        <v>1387217</v>
      </c>
    </row>
    <row r="3052" spans="1:5" x14ac:dyDescent="0.25">
      <c r="A3052" s="4">
        <v>41994.889930555553</v>
      </c>
      <c r="B3052" s="2" t="s">
        <v>1820</v>
      </c>
      <c r="C3052" s="2" t="s">
        <v>72</v>
      </c>
      <c r="D3052" s="2" t="str">
        <f>"9780748647323"</f>
        <v>9780748647323</v>
      </c>
      <c r="E3052" s="2">
        <v>1173633</v>
      </c>
    </row>
    <row r="3053" spans="1:5" x14ac:dyDescent="0.25">
      <c r="A3053" s="4">
        <v>41994.889930555553</v>
      </c>
      <c r="B3053" s="2" t="s">
        <v>1813</v>
      </c>
      <c r="C3053" s="2" t="s">
        <v>72</v>
      </c>
      <c r="D3053" s="2" t="str">
        <f>"9780748670178"</f>
        <v>9780748670178</v>
      </c>
      <c r="E3053" s="2">
        <v>1698577</v>
      </c>
    </row>
    <row r="3054" spans="1:5" x14ac:dyDescent="0.25">
      <c r="A3054" s="4">
        <v>41994.889861111114</v>
      </c>
      <c r="B3054" s="2" t="s">
        <v>1914</v>
      </c>
      <c r="C3054" s="2" t="s">
        <v>72</v>
      </c>
      <c r="D3054" s="2" t="str">
        <f>"9780748635313"</f>
        <v>9780748635313</v>
      </c>
      <c r="E3054" s="2">
        <v>420684</v>
      </c>
    </row>
    <row r="3055" spans="1:5" x14ac:dyDescent="0.25">
      <c r="A3055" s="4">
        <v>42886.492025462961</v>
      </c>
      <c r="B3055" s="2" t="s">
        <v>130</v>
      </c>
      <c r="C3055" s="2" t="s">
        <v>26</v>
      </c>
      <c r="D3055" s="2" t="str">
        <f>"9781119106364"</f>
        <v>9781119106364</v>
      </c>
      <c r="E3055" s="2">
        <v>4688944</v>
      </c>
    </row>
    <row r="3056" spans="1:5" x14ac:dyDescent="0.25">
      <c r="A3056" s="4">
        <v>41975.905590277776</v>
      </c>
      <c r="B3056" s="2" t="s">
        <v>2757</v>
      </c>
      <c r="C3056" s="2" t="s">
        <v>26</v>
      </c>
      <c r="D3056" s="2" t="str">
        <f>"9781118064061"</f>
        <v>9781118064061</v>
      </c>
      <c r="E3056" s="2">
        <v>700552</v>
      </c>
    </row>
    <row r="3057" spans="1:5" x14ac:dyDescent="0.25">
      <c r="A3057" s="4">
        <v>41914.261863425927</v>
      </c>
      <c r="B3057" s="2" t="s">
        <v>3524</v>
      </c>
      <c r="C3057" s="2" t="s">
        <v>119</v>
      </c>
      <c r="D3057" s="2" t="str">
        <f>"9780520947580"</f>
        <v>9780520947580</v>
      </c>
      <c r="E3057" s="2">
        <v>566752</v>
      </c>
    </row>
    <row r="3058" spans="1:5" x14ac:dyDescent="0.25">
      <c r="A3058" s="4">
        <v>41994.892951388887</v>
      </c>
      <c r="B3058" s="2" t="s">
        <v>1637</v>
      </c>
      <c r="C3058" s="2" t="s">
        <v>16</v>
      </c>
      <c r="D3058" s="2" t="str">
        <f>"9781462513642"</f>
        <v>9781462513642</v>
      </c>
      <c r="E3058" s="2">
        <v>1596091</v>
      </c>
    </row>
    <row r="3059" spans="1:5" x14ac:dyDescent="0.25">
      <c r="A3059" s="4">
        <v>41994.902002314811</v>
      </c>
      <c r="B3059" s="2" t="s">
        <v>704</v>
      </c>
      <c r="C3059" s="2" t="s">
        <v>119</v>
      </c>
      <c r="D3059" s="2" t="str">
        <f>"9780520956995"</f>
        <v>9780520956995</v>
      </c>
      <c r="E3059" s="2">
        <v>1220089</v>
      </c>
    </row>
    <row r="3060" spans="1:5" x14ac:dyDescent="0.25">
      <c r="A3060" s="4">
        <v>41975.409872685188</v>
      </c>
      <c r="B3060" s="2" t="s">
        <v>2859</v>
      </c>
      <c r="C3060" s="2" t="s">
        <v>119</v>
      </c>
      <c r="D3060" s="2" t="str">
        <f>"9780520924338"</f>
        <v>9780520924338</v>
      </c>
      <c r="E3060" s="2">
        <v>223021</v>
      </c>
    </row>
    <row r="3061" spans="1:5" x14ac:dyDescent="0.25">
      <c r="A3061" s="4">
        <v>41906.612453703703</v>
      </c>
      <c r="B3061" s="2" t="s">
        <v>3708</v>
      </c>
      <c r="C3061" s="2" t="s">
        <v>160</v>
      </c>
      <c r="D3061" s="2" t="str">
        <f>"9780764517358"</f>
        <v>9780764517358</v>
      </c>
      <c r="E3061" s="2">
        <v>127621</v>
      </c>
    </row>
    <row r="3062" spans="1:5" x14ac:dyDescent="0.25">
      <c r="A3062" s="4">
        <v>41994.901990740742</v>
      </c>
      <c r="B3062" s="2" t="s">
        <v>760</v>
      </c>
      <c r="C3062" s="2" t="s">
        <v>119</v>
      </c>
      <c r="D3062" s="2" t="str">
        <f>"9780520951617"</f>
        <v>9780520951617</v>
      </c>
      <c r="E3062" s="2">
        <v>928945</v>
      </c>
    </row>
    <row r="3063" spans="1:5" x14ac:dyDescent="0.25">
      <c r="A3063" s="4">
        <v>41994.901979166665</v>
      </c>
      <c r="B3063" s="2" t="s">
        <v>772</v>
      </c>
      <c r="C3063" s="2" t="s">
        <v>119</v>
      </c>
      <c r="D3063" s="2" t="str">
        <f>"9780520946323"</f>
        <v>9780520946323</v>
      </c>
      <c r="E3063" s="2">
        <v>919523</v>
      </c>
    </row>
    <row r="3064" spans="1:5" x14ac:dyDescent="0.25">
      <c r="A3064" s="4">
        <v>41907.671261574076</v>
      </c>
      <c r="B3064" s="2" t="s">
        <v>3671</v>
      </c>
      <c r="C3064" s="2" t="s">
        <v>74</v>
      </c>
      <c r="D3064" s="2" t="str">
        <f>"9781441196699"</f>
        <v>9781441196699</v>
      </c>
      <c r="E3064" s="2">
        <v>1664076</v>
      </c>
    </row>
    <row r="3065" spans="1:5" x14ac:dyDescent="0.25">
      <c r="A3065" s="4">
        <v>41994.899050925924</v>
      </c>
      <c r="B3065" s="2" t="s">
        <v>1410</v>
      </c>
      <c r="C3065" s="2" t="s">
        <v>63</v>
      </c>
      <c r="D3065" s="2" t="str">
        <f>"9781400825301"</f>
        <v>9781400825301</v>
      </c>
      <c r="E3065" s="2">
        <v>457813</v>
      </c>
    </row>
    <row r="3066" spans="1:5" x14ac:dyDescent="0.25">
      <c r="A3066" s="4">
        <v>41994.905590277776</v>
      </c>
      <c r="B3066" s="2" t="s">
        <v>560</v>
      </c>
      <c r="C3066" s="2" t="s">
        <v>96</v>
      </c>
      <c r="D3066" s="2" t="str">
        <f>"9780807878088"</f>
        <v>9780807878088</v>
      </c>
      <c r="E3066" s="2">
        <v>716596</v>
      </c>
    </row>
    <row r="3067" spans="1:5" x14ac:dyDescent="0.25">
      <c r="A3067" s="4">
        <v>41988.674178240741</v>
      </c>
      <c r="B3067" s="2" t="s">
        <v>2277</v>
      </c>
      <c r="C3067" s="2" t="s">
        <v>63</v>
      </c>
      <c r="D3067" s="2" t="str">
        <f>"9781400836352"</f>
        <v>9781400836352</v>
      </c>
      <c r="E3067" s="2">
        <v>664604</v>
      </c>
    </row>
    <row r="3068" spans="1:5" x14ac:dyDescent="0.25">
      <c r="A3068" s="4">
        <v>41936.401354166665</v>
      </c>
      <c r="B3068" s="2" t="s">
        <v>3005</v>
      </c>
      <c r="C3068" s="2" t="s">
        <v>36</v>
      </c>
      <c r="D3068" s="2" t="str">
        <f>"9781476600635"</f>
        <v>9781476600635</v>
      </c>
      <c r="E3068" s="2">
        <v>1025169</v>
      </c>
    </row>
    <row r="3069" spans="1:5" x14ac:dyDescent="0.25">
      <c r="A3069" s="4">
        <v>43217.314699074072</v>
      </c>
      <c r="B3069" s="2" t="s">
        <v>39</v>
      </c>
      <c r="C3069" s="2" t="s">
        <v>36</v>
      </c>
      <c r="D3069" s="2" t="str">
        <f>"9781476630236"</f>
        <v>9781476630236</v>
      </c>
      <c r="E3069" s="2">
        <v>5046818</v>
      </c>
    </row>
    <row r="3070" spans="1:5" x14ac:dyDescent="0.25">
      <c r="A3070" s="4">
        <v>41994.908206018517</v>
      </c>
      <c r="B3070" s="2" t="s">
        <v>279</v>
      </c>
      <c r="C3070" s="2" t="s">
        <v>26</v>
      </c>
      <c r="D3070" s="2" t="str">
        <f>"9781119970996"</f>
        <v>9781119970996</v>
      </c>
      <c r="E3070" s="2">
        <v>675206</v>
      </c>
    </row>
    <row r="3071" spans="1:5" x14ac:dyDescent="0.25">
      <c r="A3071" s="4">
        <v>41994.899143518516</v>
      </c>
      <c r="B3071" s="2" t="s">
        <v>1095</v>
      </c>
      <c r="C3071" s="2" t="s">
        <v>63</v>
      </c>
      <c r="D3071" s="2" t="str">
        <f>"9781400850228"</f>
        <v>9781400850228</v>
      </c>
      <c r="E3071" s="2">
        <v>1584939</v>
      </c>
    </row>
    <row r="3072" spans="1:5" x14ac:dyDescent="0.25">
      <c r="A3072" s="4">
        <v>41927.959074074075</v>
      </c>
      <c r="B3072" s="2" t="s">
        <v>3206</v>
      </c>
      <c r="C3072" s="2" t="s">
        <v>63</v>
      </c>
      <c r="D3072" s="2" t="str">
        <f>"9781400851904"</f>
        <v>9781400851904</v>
      </c>
      <c r="E3072" s="2">
        <v>1689359</v>
      </c>
    </row>
    <row r="3073" spans="1:5" x14ac:dyDescent="0.25">
      <c r="A3073" s="4">
        <v>41975.755937499998</v>
      </c>
      <c r="B3073" s="2" t="s">
        <v>2791</v>
      </c>
      <c r="C3073" s="2" t="s">
        <v>119</v>
      </c>
      <c r="D3073" s="2" t="str">
        <f>"9780520935549"</f>
        <v>9780520935549</v>
      </c>
      <c r="E3073" s="2">
        <v>224200</v>
      </c>
    </row>
    <row r="3074" spans="1:5" x14ac:dyDescent="0.25">
      <c r="A3074" s="4">
        <v>43207.449363425927</v>
      </c>
      <c r="B3074" s="2" t="s">
        <v>48</v>
      </c>
      <c r="C3074" s="2" t="s">
        <v>36</v>
      </c>
      <c r="D3074" s="2" t="str">
        <f>"9781476627076"</f>
        <v>9781476627076</v>
      </c>
      <c r="E3074" s="2">
        <v>4850689</v>
      </c>
    </row>
    <row r="3075" spans="1:5" x14ac:dyDescent="0.25">
      <c r="A3075" s="4">
        <v>41975.358310185184</v>
      </c>
      <c r="B3075" s="2" t="s">
        <v>2867</v>
      </c>
      <c r="C3075" s="2" t="s">
        <v>18</v>
      </c>
      <c r="D3075" s="2" t="str">
        <f>"9781408176849"</f>
        <v>9781408176849</v>
      </c>
      <c r="E3075" s="2">
        <v>1538998</v>
      </c>
    </row>
    <row r="3076" spans="1:5" x14ac:dyDescent="0.25">
      <c r="A3076" s="4">
        <v>41974.80064814815</v>
      </c>
      <c r="B3076" s="2" t="s">
        <v>2912</v>
      </c>
      <c r="C3076" s="2" t="s">
        <v>119</v>
      </c>
      <c r="D3076" s="2" t="str">
        <f>"9780520955158"</f>
        <v>9780520955158</v>
      </c>
      <c r="E3076" s="2">
        <v>1163755</v>
      </c>
    </row>
    <row r="3077" spans="1:5" x14ac:dyDescent="0.25">
      <c r="A3077" s="4">
        <v>41994.899155092593</v>
      </c>
      <c r="B3077" s="2" t="s">
        <v>1050</v>
      </c>
      <c r="C3077" s="2" t="s">
        <v>63</v>
      </c>
      <c r="D3077" s="2" t="str">
        <f>"9781400865130"</f>
        <v>9781400865130</v>
      </c>
      <c r="E3077" s="2">
        <v>1753402</v>
      </c>
    </row>
    <row r="3078" spans="1:5" x14ac:dyDescent="0.25">
      <c r="A3078" s="4">
        <v>41994.885011574072</v>
      </c>
      <c r="B3078" s="2" t="s">
        <v>2081</v>
      </c>
      <c r="C3078" s="2" t="s">
        <v>74</v>
      </c>
      <c r="D3078" s="2" t="str">
        <f>"9781441109651"</f>
        <v>9781441109651</v>
      </c>
      <c r="E3078" s="2">
        <v>743273</v>
      </c>
    </row>
    <row r="3079" spans="1:5" x14ac:dyDescent="0.25">
      <c r="A3079" s="4">
        <v>41994.905636574076</v>
      </c>
      <c r="B3079" s="2" t="s">
        <v>430</v>
      </c>
      <c r="C3079" s="2" t="s">
        <v>96</v>
      </c>
      <c r="D3079" s="2" t="str">
        <f>"9781469612911"</f>
        <v>9781469612911</v>
      </c>
      <c r="E3079" s="2">
        <v>1731664</v>
      </c>
    </row>
    <row r="3080" spans="1:5" x14ac:dyDescent="0.25">
      <c r="A3080" s="4">
        <v>41915.395648148151</v>
      </c>
      <c r="B3080" s="2" t="s">
        <v>3498</v>
      </c>
      <c r="C3080" s="2" t="s">
        <v>36</v>
      </c>
      <c r="D3080" s="2" t="str">
        <f>"9780786480128"</f>
        <v>9780786480128</v>
      </c>
      <c r="E3080" s="2">
        <v>618415</v>
      </c>
    </row>
    <row r="3081" spans="1:5" x14ac:dyDescent="0.25">
      <c r="A3081" s="4">
        <v>41994.899143518516</v>
      </c>
      <c r="B3081" s="2" t="s">
        <v>1112</v>
      </c>
      <c r="C3081" s="2" t="s">
        <v>63</v>
      </c>
      <c r="D3081" s="2" t="str">
        <f>"9781400850457"</f>
        <v>9781400850457</v>
      </c>
      <c r="E3081" s="2">
        <v>1561561</v>
      </c>
    </row>
    <row r="3082" spans="1:5" x14ac:dyDescent="0.25">
      <c r="A3082" s="4">
        <v>41911.096307870372</v>
      </c>
      <c r="B3082" s="2" t="s">
        <v>3609</v>
      </c>
      <c r="C3082" s="2" t="s">
        <v>26</v>
      </c>
      <c r="D3082" s="2" t="str">
        <f>"9780470511541"</f>
        <v>9780470511541</v>
      </c>
      <c r="E3082" s="2">
        <v>297470</v>
      </c>
    </row>
    <row r="3083" spans="1:5" x14ac:dyDescent="0.25">
      <c r="A3083" s="4">
        <v>41974.976620370369</v>
      </c>
      <c r="B3083" s="2" t="s">
        <v>2885</v>
      </c>
      <c r="C3083" s="2" t="s">
        <v>26</v>
      </c>
      <c r="D3083" s="2" t="str">
        <f>"9780470754054"</f>
        <v>9780470754054</v>
      </c>
      <c r="E3083" s="2">
        <v>366870</v>
      </c>
    </row>
    <row r="3084" spans="1:5" x14ac:dyDescent="0.25">
      <c r="A3084" s="4">
        <v>41994.892951388887</v>
      </c>
      <c r="B3084" s="2" t="s">
        <v>1630</v>
      </c>
      <c r="C3084" s="2" t="s">
        <v>16</v>
      </c>
      <c r="D3084" s="2" t="str">
        <f>"9781462515806"</f>
        <v>9781462515806</v>
      </c>
      <c r="E3084" s="2">
        <v>1691124</v>
      </c>
    </row>
    <row r="3085" spans="1:5" x14ac:dyDescent="0.25">
      <c r="A3085" s="4">
        <v>41994.885057870371</v>
      </c>
      <c r="B3085" s="2" t="s">
        <v>1957</v>
      </c>
      <c r="C3085" s="2" t="s">
        <v>18</v>
      </c>
      <c r="D3085" s="2" t="str">
        <f>"9781472529275"</f>
        <v>9781472529275</v>
      </c>
      <c r="E3085" s="2">
        <v>1656523</v>
      </c>
    </row>
    <row r="3086" spans="1:5" x14ac:dyDescent="0.25">
      <c r="A3086" s="4">
        <v>41994.901921296296</v>
      </c>
      <c r="B3086" s="2" t="s">
        <v>958</v>
      </c>
      <c r="C3086" s="2" t="s">
        <v>119</v>
      </c>
      <c r="D3086" s="2" t="str">
        <f>"9780520941663"</f>
        <v>9780520941663</v>
      </c>
      <c r="E3086" s="2">
        <v>293835</v>
      </c>
    </row>
    <row r="3087" spans="1:5" x14ac:dyDescent="0.25">
      <c r="A3087" s="4">
        <v>41994.908148148148</v>
      </c>
      <c r="B3087" s="2" t="s">
        <v>420</v>
      </c>
      <c r="C3087" s="2" t="s">
        <v>26</v>
      </c>
      <c r="D3087" s="2" t="str">
        <f>"9780787959951"</f>
        <v>9780787959951</v>
      </c>
      <c r="E3087" s="2">
        <v>120503</v>
      </c>
    </row>
    <row r="3088" spans="1:5" x14ac:dyDescent="0.25">
      <c r="A3088" s="4">
        <v>41930.797615740739</v>
      </c>
      <c r="B3088" s="2" t="s">
        <v>3149</v>
      </c>
      <c r="C3088" s="2" t="s">
        <v>18</v>
      </c>
      <c r="D3088" s="2" t="str">
        <f>"9780857853172"</f>
        <v>9780857853172</v>
      </c>
      <c r="E3088" s="2">
        <v>1185080</v>
      </c>
    </row>
    <row r="3089" spans="1:5" x14ac:dyDescent="0.25">
      <c r="A3089" s="4">
        <v>41994.896122685182</v>
      </c>
      <c r="B3089" s="2" t="s">
        <v>1555</v>
      </c>
      <c r="C3089" s="2" t="s">
        <v>28</v>
      </c>
      <c r="D3089" s="2" t="str">
        <f>"9780253005458"</f>
        <v>9780253005458</v>
      </c>
      <c r="E3089" s="2">
        <v>670301</v>
      </c>
    </row>
    <row r="3090" spans="1:5" x14ac:dyDescent="0.25">
      <c r="A3090" s="4">
        <v>41974.503541666665</v>
      </c>
      <c r="B3090" s="2" t="s">
        <v>2972</v>
      </c>
      <c r="C3090" s="2" t="s">
        <v>7</v>
      </c>
      <c r="D3090" s="2" t="str">
        <f>"9781446247877"</f>
        <v>9781446247877</v>
      </c>
      <c r="E3090" s="2">
        <v>743725</v>
      </c>
    </row>
    <row r="3091" spans="1:5" x14ac:dyDescent="0.25">
      <c r="A3091" s="4">
        <v>41994.905601851853</v>
      </c>
      <c r="B3091" s="2" t="s">
        <v>542</v>
      </c>
      <c r="C3091" s="2" t="s">
        <v>96</v>
      </c>
      <c r="D3091" s="2" t="str">
        <f>"9780807835913"</f>
        <v>9780807835913</v>
      </c>
      <c r="E3091" s="2">
        <v>837889</v>
      </c>
    </row>
    <row r="3092" spans="1:5" x14ac:dyDescent="0.25">
      <c r="A3092" s="4">
        <v>41994.899074074077</v>
      </c>
      <c r="B3092" s="2" t="s">
        <v>1346</v>
      </c>
      <c r="C3092" s="2" t="s">
        <v>63</v>
      </c>
      <c r="D3092" s="2" t="str">
        <f>"9781400830763"</f>
        <v>9781400830763</v>
      </c>
      <c r="E3092" s="2">
        <v>617246</v>
      </c>
    </row>
    <row r="3093" spans="1:5" x14ac:dyDescent="0.25">
      <c r="A3093" s="4">
        <v>41994.878750000003</v>
      </c>
      <c r="B3093" s="2" t="s">
        <v>2197</v>
      </c>
      <c r="C3093" s="2" t="s">
        <v>2170</v>
      </c>
      <c r="D3093" s="2" t="str">
        <f>"9781780322254"</f>
        <v>9781780322254</v>
      </c>
      <c r="E3093" s="2">
        <v>914289</v>
      </c>
    </row>
    <row r="3094" spans="1:5" x14ac:dyDescent="0.25">
      <c r="A3094" s="4">
        <v>41994.889930555553</v>
      </c>
      <c r="B3094" s="2" t="s">
        <v>1802</v>
      </c>
      <c r="C3094" s="2" t="s">
        <v>72</v>
      </c>
      <c r="D3094" s="2" t="str">
        <f>"9780748645299"</f>
        <v>9780748645299</v>
      </c>
      <c r="E3094" s="2">
        <v>1717553</v>
      </c>
    </row>
    <row r="3095" spans="1:5" x14ac:dyDescent="0.25">
      <c r="A3095" s="4">
        <v>41994.901921296296</v>
      </c>
      <c r="B3095" s="2" t="s">
        <v>968</v>
      </c>
      <c r="C3095" s="2" t="s">
        <v>119</v>
      </c>
      <c r="D3095" s="2" t="str">
        <f>"9780520931893"</f>
        <v>9780520931893</v>
      </c>
      <c r="E3095" s="2">
        <v>254870</v>
      </c>
    </row>
    <row r="3096" spans="1:5" x14ac:dyDescent="0.25">
      <c r="A3096" s="4">
        <v>41994.885057870371</v>
      </c>
      <c r="B3096" s="2" t="s">
        <v>1935</v>
      </c>
      <c r="C3096" s="2" t="s">
        <v>18</v>
      </c>
      <c r="D3096" s="2" t="str">
        <f>"9781472586438"</f>
        <v>9781472586438</v>
      </c>
      <c r="E3096" s="2">
        <v>1809769</v>
      </c>
    </row>
    <row r="3097" spans="1:5" x14ac:dyDescent="0.25">
      <c r="A3097" s="4">
        <v>41994.90824074074</v>
      </c>
      <c r="B3097" s="2" t="s">
        <v>183</v>
      </c>
      <c r="C3097" s="2" t="s">
        <v>26</v>
      </c>
      <c r="D3097" s="2" t="str">
        <f>"9781118174623"</f>
        <v>9781118174623</v>
      </c>
      <c r="E3097" s="2">
        <v>818990</v>
      </c>
    </row>
    <row r="3098" spans="1:5" x14ac:dyDescent="0.25">
      <c r="A3098" s="4">
        <v>42125.512743055559</v>
      </c>
      <c r="B3098" s="2" t="s">
        <v>183</v>
      </c>
      <c r="C3098" s="2" t="s">
        <v>26</v>
      </c>
      <c r="D3098" s="2" t="str">
        <f>"9781118174623"</f>
        <v>9781118174623</v>
      </c>
      <c r="E3098" s="2">
        <v>818990</v>
      </c>
    </row>
    <row r="3099" spans="1:5" x14ac:dyDescent="0.25">
      <c r="A3099" s="4">
        <v>42093.388113425928</v>
      </c>
      <c r="B3099" s="2" t="s">
        <v>183</v>
      </c>
      <c r="C3099" s="2" t="s">
        <v>26</v>
      </c>
      <c r="D3099" s="2" t="str">
        <f>"9781118174623"</f>
        <v>9781118174623</v>
      </c>
      <c r="E3099" s="2">
        <v>818990</v>
      </c>
    </row>
    <row r="3100" spans="1:5" x14ac:dyDescent="0.25">
      <c r="A3100" s="4">
        <v>42063.640636574077</v>
      </c>
      <c r="B3100" s="2" t="s">
        <v>183</v>
      </c>
      <c r="C3100" s="2" t="s">
        <v>26</v>
      </c>
      <c r="D3100" s="2" t="str">
        <f>"9781118174623"</f>
        <v>9781118174623</v>
      </c>
      <c r="E3100" s="2">
        <v>818990</v>
      </c>
    </row>
    <row r="3101" spans="1:5" x14ac:dyDescent="0.25">
      <c r="A3101" s="4">
        <v>41893.486689814818</v>
      </c>
      <c r="B3101" s="2" t="s">
        <v>183</v>
      </c>
      <c r="C3101" s="2" t="s">
        <v>26</v>
      </c>
      <c r="D3101" s="2" t="str">
        <f>"9781118174623"</f>
        <v>9781118174623</v>
      </c>
      <c r="E3101" s="2">
        <v>818990</v>
      </c>
    </row>
    <row r="3102" spans="1:5" x14ac:dyDescent="0.25">
      <c r="A3102" s="4">
        <v>41979.528263888889</v>
      </c>
      <c r="B3102" s="2" t="s">
        <v>2543</v>
      </c>
      <c r="C3102" s="2" t="s">
        <v>26</v>
      </c>
      <c r="D3102" s="2" t="str">
        <f>"9781444354812"</f>
        <v>9781444354812</v>
      </c>
      <c r="E3102" s="2">
        <v>836638</v>
      </c>
    </row>
    <row r="3103" spans="1:5" x14ac:dyDescent="0.25">
      <c r="A3103" s="4">
        <v>41994.901956018519</v>
      </c>
      <c r="B3103" s="2" t="s">
        <v>843</v>
      </c>
      <c r="C3103" s="2" t="s">
        <v>119</v>
      </c>
      <c r="D3103" s="2" t="str">
        <f>"9780520949706"</f>
        <v>9780520949706</v>
      </c>
      <c r="E3103" s="2">
        <v>744002</v>
      </c>
    </row>
    <row r="3104" spans="1:5" x14ac:dyDescent="0.25">
      <c r="A3104" s="4">
        <v>41994.885046296295</v>
      </c>
      <c r="B3104" s="2" t="s">
        <v>1993</v>
      </c>
      <c r="C3104" s="2" t="s">
        <v>18</v>
      </c>
      <c r="D3104" s="2" t="str">
        <f>"9781472521118"</f>
        <v>9781472521118</v>
      </c>
      <c r="E3104" s="2">
        <v>1394927</v>
      </c>
    </row>
    <row r="3105" spans="1:5" x14ac:dyDescent="0.25">
      <c r="A3105" s="4">
        <v>41935.359872685185</v>
      </c>
      <c r="B3105" s="2" t="s">
        <v>3037</v>
      </c>
      <c r="C3105" s="2" t="s">
        <v>63</v>
      </c>
      <c r="D3105" s="2" t="str">
        <f>"9781400850358"</f>
        <v>9781400850358</v>
      </c>
      <c r="E3105" s="2">
        <v>1674229</v>
      </c>
    </row>
    <row r="3106" spans="1:5" x14ac:dyDescent="0.25">
      <c r="A3106" s="4">
        <v>41893.377349537041</v>
      </c>
      <c r="B3106" s="2" t="s">
        <v>3885</v>
      </c>
      <c r="C3106" s="2" t="s">
        <v>28</v>
      </c>
      <c r="D3106" s="2" t="str">
        <f>"9780253000200"</f>
        <v>9780253000200</v>
      </c>
      <c r="E3106" s="2">
        <v>348677</v>
      </c>
    </row>
    <row r="3107" spans="1:5" x14ac:dyDescent="0.25">
      <c r="A3107" s="4">
        <v>41912.404976851853</v>
      </c>
      <c r="B3107" s="2" t="s">
        <v>3571</v>
      </c>
      <c r="C3107" s="2" t="s">
        <v>119</v>
      </c>
      <c r="D3107" s="2" t="str">
        <f>"9780520945050"</f>
        <v>9780520945050</v>
      </c>
      <c r="E3107" s="2">
        <v>837270</v>
      </c>
    </row>
    <row r="3108" spans="1:5" x14ac:dyDescent="0.25">
      <c r="A3108" s="4">
        <v>41994.885000000002</v>
      </c>
      <c r="B3108" s="2" t="s">
        <v>2102</v>
      </c>
      <c r="C3108" s="2" t="s">
        <v>18</v>
      </c>
      <c r="D3108" s="2" t="str">
        <f>"9781408198803"</f>
        <v>9781408198803</v>
      </c>
      <c r="E3108" s="2">
        <v>692086</v>
      </c>
    </row>
    <row r="3109" spans="1:5" x14ac:dyDescent="0.25">
      <c r="A3109" s="4">
        <v>41932.90929398148</v>
      </c>
      <c r="B3109" s="2" t="s">
        <v>3105</v>
      </c>
      <c r="C3109" s="2" t="s">
        <v>63</v>
      </c>
      <c r="D3109" s="2" t="str">
        <f>"9781400824663"</f>
        <v>9781400824663</v>
      </c>
      <c r="E3109" s="2">
        <v>457765</v>
      </c>
    </row>
    <row r="3110" spans="1:5" x14ac:dyDescent="0.25">
      <c r="A3110" s="4">
        <v>41994.896157407406</v>
      </c>
      <c r="B3110" s="2" t="s">
        <v>1486</v>
      </c>
      <c r="C3110" s="2" t="s">
        <v>28</v>
      </c>
      <c r="D3110" s="2" t="str">
        <f>"9780253008923"</f>
        <v>9780253008923</v>
      </c>
      <c r="E3110" s="2">
        <v>1169371</v>
      </c>
    </row>
    <row r="3111" spans="1:5" x14ac:dyDescent="0.25">
      <c r="A3111" s="4">
        <v>41994.901979166665</v>
      </c>
      <c r="B3111" s="2" t="s">
        <v>784</v>
      </c>
      <c r="C3111" s="2" t="s">
        <v>119</v>
      </c>
      <c r="D3111" s="2" t="str">
        <f>"9780520951693"</f>
        <v>9780520951693</v>
      </c>
      <c r="E3111" s="2">
        <v>879034</v>
      </c>
    </row>
    <row r="3112" spans="1:5" x14ac:dyDescent="0.25">
      <c r="A3112" s="4">
        <v>41922.307326388887</v>
      </c>
      <c r="B3112" s="2" t="s">
        <v>3325</v>
      </c>
      <c r="C3112" s="2" t="s">
        <v>63</v>
      </c>
      <c r="D3112" s="2" t="str">
        <f>"9781400846566"</f>
        <v>9781400846566</v>
      </c>
      <c r="E3112" s="2">
        <v>1084823</v>
      </c>
    </row>
    <row r="3113" spans="1:5" x14ac:dyDescent="0.25">
      <c r="A3113" s="4">
        <v>41974.969444444447</v>
      </c>
      <c r="B3113" s="2" t="s">
        <v>2887</v>
      </c>
      <c r="C3113" s="2" t="s">
        <v>36</v>
      </c>
      <c r="D3113" s="2" t="str">
        <f>"9781476603414"</f>
        <v>9781476603414</v>
      </c>
      <c r="E3113" s="2">
        <v>1179597</v>
      </c>
    </row>
    <row r="3114" spans="1:5" x14ac:dyDescent="0.25">
      <c r="A3114" s="4">
        <v>41903.948692129627</v>
      </c>
      <c r="B3114" s="2" t="s">
        <v>3788</v>
      </c>
      <c r="C3114" s="2" t="s">
        <v>28</v>
      </c>
      <c r="D3114" s="2" t="str">
        <f>"9780253011534"</f>
        <v>9780253011534</v>
      </c>
      <c r="E3114" s="2">
        <v>1115505</v>
      </c>
    </row>
    <row r="3115" spans="1:5" x14ac:dyDescent="0.25">
      <c r="A3115" s="4">
        <v>41994.899155092593</v>
      </c>
      <c r="B3115" s="2" t="s">
        <v>1057</v>
      </c>
      <c r="C3115" s="2" t="s">
        <v>63</v>
      </c>
      <c r="D3115" s="2" t="str">
        <f>"9781400851973"</f>
        <v>9781400851973</v>
      </c>
      <c r="E3115" s="2">
        <v>1717924</v>
      </c>
    </row>
    <row r="3116" spans="1:5" x14ac:dyDescent="0.25">
      <c r="A3116" s="4">
        <v>41994.899062500001</v>
      </c>
      <c r="B3116" s="2" t="s">
        <v>1353</v>
      </c>
      <c r="C3116" s="2" t="s">
        <v>63</v>
      </c>
      <c r="D3116" s="2" t="str">
        <f>"9781400836284"</f>
        <v>9781400836284</v>
      </c>
      <c r="E3116" s="2">
        <v>590820</v>
      </c>
    </row>
    <row r="3117" spans="1:5" x14ac:dyDescent="0.25">
      <c r="A3117" s="4">
        <v>42880.526967592596</v>
      </c>
      <c r="B3117" s="2" t="s">
        <v>138</v>
      </c>
      <c r="C3117" s="2" t="s">
        <v>119</v>
      </c>
      <c r="D3117" s="2" t="str">
        <f>"9780520962712"</f>
        <v>9780520962712</v>
      </c>
      <c r="E3117" s="2">
        <v>4305560</v>
      </c>
    </row>
    <row r="3118" spans="1:5" x14ac:dyDescent="0.25">
      <c r="A3118" s="4">
        <v>41994.899155092593</v>
      </c>
      <c r="B3118" s="2" t="s">
        <v>1053</v>
      </c>
      <c r="C3118" s="2" t="s">
        <v>63</v>
      </c>
      <c r="D3118" s="2" t="str">
        <f>"9781400852499"</f>
        <v>9781400852499</v>
      </c>
      <c r="E3118" s="2">
        <v>1724886</v>
      </c>
    </row>
    <row r="3119" spans="1:5" x14ac:dyDescent="0.25">
      <c r="A3119" s="4">
        <v>41994.901990740742</v>
      </c>
      <c r="B3119" s="2" t="s">
        <v>759</v>
      </c>
      <c r="C3119" s="2" t="s">
        <v>119</v>
      </c>
      <c r="D3119" s="2" t="str">
        <f>"9780520953529"</f>
        <v>9780520953529</v>
      </c>
      <c r="E3119" s="2">
        <v>928946</v>
      </c>
    </row>
    <row r="3120" spans="1:5" x14ac:dyDescent="0.25">
      <c r="A3120" s="4">
        <v>41994.908159722225</v>
      </c>
      <c r="B3120" s="2" t="s">
        <v>396</v>
      </c>
      <c r="C3120" s="2" t="s">
        <v>26</v>
      </c>
      <c r="D3120" s="2" t="str">
        <f>"9781405153140"</f>
        <v>9781405153140</v>
      </c>
      <c r="E3120" s="2">
        <v>243593</v>
      </c>
    </row>
    <row r="3121" spans="1:5" x14ac:dyDescent="0.25">
      <c r="A3121" s="4">
        <v>41914.591261574074</v>
      </c>
      <c r="B3121" s="2" t="s">
        <v>3513</v>
      </c>
      <c r="C3121" s="2" t="s">
        <v>26</v>
      </c>
      <c r="D3121" s="2" t="str">
        <f>"9781444306231"</f>
        <v>9781444306231</v>
      </c>
      <c r="E3121" s="2">
        <v>437554</v>
      </c>
    </row>
    <row r="3122" spans="1:5" x14ac:dyDescent="0.25">
      <c r="A3122" s="4">
        <v>41974.60359953704</v>
      </c>
      <c r="B3122" s="2" t="s">
        <v>2948</v>
      </c>
      <c r="C3122" s="2" t="s">
        <v>26</v>
      </c>
      <c r="D3122" s="2" t="str">
        <f>"9781405171588"</f>
        <v>9781405171588</v>
      </c>
      <c r="E3122" s="2">
        <v>284141</v>
      </c>
    </row>
    <row r="3123" spans="1:5" x14ac:dyDescent="0.25">
      <c r="A3123" s="4">
        <v>41994.908171296294</v>
      </c>
      <c r="B3123" s="2" t="s">
        <v>368</v>
      </c>
      <c r="C3123" s="2" t="s">
        <v>26</v>
      </c>
      <c r="D3123" s="2" t="str">
        <f>"9780470997185"</f>
        <v>9780470997185</v>
      </c>
      <c r="E3123" s="2">
        <v>351518</v>
      </c>
    </row>
    <row r="3124" spans="1:5" x14ac:dyDescent="0.25">
      <c r="A3124" s="4">
        <v>41978.008993055555</v>
      </c>
      <c r="B3124" s="2" t="s">
        <v>2580</v>
      </c>
      <c r="C3124" s="2" t="s">
        <v>160</v>
      </c>
      <c r="D3124" s="2" t="str">
        <f>"9781444356151"</f>
        <v>9781444356151</v>
      </c>
      <c r="E3124" s="2">
        <v>819351</v>
      </c>
    </row>
    <row r="3125" spans="1:5" x14ac:dyDescent="0.25">
      <c r="A3125" s="4">
        <v>41994.899074074077</v>
      </c>
      <c r="B3125" s="2" t="s">
        <v>1329</v>
      </c>
      <c r="C3125" s="2" t="s">
        <v>63</v>
      </c>
      <c r="D3125" s="2" t="str">
        <f>"9781400836819"</f>
        <v>9781400836819</v>
      </c>
      <c r="E3125" s="2">
        <v>664551</v>
      </c>
    </row>
    <row r="3126" spans="1:5" x14ac:dyDescent="0.25">
      <c r="A3126" s="4">
        <v>41980.493564814817</v>
      </c>
      <c r="B3126" s="2" t="s">
        <v>2516</v>
      </c>
      <c r="C3126" s="2" t="s">
        <v>36</v>
      </c>
      <c r="D3126" s="2" t="str">
        <f>"9780786459841"</f>
        <v>9780786459841</v>
      </c>
      <c r="E3126" s="2">
        <v>618421</v>
      </c>
    </row>
    <row r="3127" spans="1:5" x14ac:dyDescent="0.25">
      <c r="A3127" s="4">
        <v>41994.885057870371</v>
      </c>
      <c r="B3127" s="2" t="s">
        <v>1942</v>
      </c>
      <c r="C3127" s="2" t="s">
        <v>18</v>
      </c>
      <c r="D3127" s="2" t="str">
        <f>"9780567312228"</f>
        <v>9780567312228</v>
      </c>
      <c r="E3127" s="2">
        <v>1742603</v>
      </c>
    </row>
    <row r="3128" spans="1:5" x14ac:dyDescent="0.25">
      <c r="A3128" s="4">
        <v>41920.459166666667</v>
      </c>
      <c r="B3128" s="2" t="s">
        <v>3376</v>
      </c>
      <c r="C3128" s="2" t="s">
        <v>26</v>
      </c>
      <c r="D3128" s="2" t="str">
        <f>"9780471779216"</f>
        <v>9780471779216</v>
      </c>
      <c r="E3128" s="2">
        <v>243689</v>
      </c>
    </row>
    <row r="3129" spans="1:5" x14ac:dyDescent="0.25">
      <c r="A3129" s="4">
        <v>41976.416250000002</v>
      </c>
      <c r="B3129" s="2" t="s">
        <v>2717</v>
      </c>
      <c r="C3129" s="2" t="s">
        <v>26</v>
      </c>
      <c r="D3129" s="2" t="str">
        <f>"9780470552841"</f>
        <v>9780470552841</v>
      </c>
      <c r="E3129" s="2">
        <v>468621</v>
      </c>
    </row>
    <row r="3130" spans="1:5" x14ac:dyDescent="0.25">
      <c r="A3130" s="4">
        <v>41912.512881944444</v>
      </c>
      <c r="B3130" s="2" t="s">
        <v>3564</v>
      </c>
      <c r="C3130" s="2" t="s">
        <v>63</v>
      </c>
      <c r="D3130" s="2" t="str">
        <f>"9781400844593"</f>
        <v>9781400844593</v>
      </c>
      <c r="E3130" s="2">
        <v>1040746</v>
      </c>
    </row>
    <row r="3131" spans="1:5" x14ac:dyDescent="0.25">
      <c r="A3131" s="4">
        <v>41919.557476851849</v>
      </c>
      <c r="B3131" s="2" t="s">
        <v>3395</v>
      </c>
      <c r="C3131" s="2" t="s">
        <v>63</v>
      </c>
      <c r="D3131" s="2" t="str">
        <f>"9781400848010"</f>
        <v>9781400848010</v>
      </c>
      <c r="E3131" s="2">
        <v>1250016</v>
      </c>
    </row>
    <row r="3132" spans="1:5" x14ac:dyDescent="0.25">
      <c r="A3132" s="4">
        <v>41994.908217592594</v>
      </c>
      <c r="B3132" s="2" t="s">
        <v>267</v>
      </c>
      <c r="C3132" s="2" t="s">
        <v>205</v>
      </c>
      <c r="D3132" s="2" t="str">
        <f>"9781118063606"</f>
        <v>9781118063606</v>
      </c>
      <c r="E3132" s="2">
        <v>693515</v>
      </c>
    </row>
    <row r="3133" spans="1:5" x14ac:dyDescent="0.25">
      <c r="A3133" s="4">
        <v>41994.90556712963</v>
      </c>
      <c r="B3133" s="2" t="s">
        <v>627</v>
      </c>
      <c r="C3133" s="2" t="s">
        <v>96</v>
      </c>
      <c r="D3133" s="2" t="str">
        <f>"9780807886397"</f>
        <v>9780807886397</v>
      </c>
      <c r="E3133" s="2">
        <v>361358</v>
      </c>
    </row>
    <row r="3134" spans="1:5" x14ac:dyDescent="0.25">
      <c r="A3134" s="4">
        <v>41994.902013888888</v>
      </c>
      <c r="B3134" s="2" t="s">
        <v>652</v>
      </c>
      <c r="C3134" s="2" t="s">
        <v>119</v>
      </c>
      <c r="D3134" s="2" t="str">
        <f>"9780520959125"</f>
        <v>9780520959125</v>
      </c>
      <c r="E3134" s="2">
        <v>1710992</v>
      </c>
    </row>
    <row r="3135" spans="1:5" x14ac:dyDescent="0.25">
      <c r="A3135" s="4">
        <v>41926.556956018518</v>
      </c>
      <c r="B3135" s="2" t="s">
        <v>3245</v>
      </c>
      <c r="C3135" s="2" t="s">
        <v>26</v>
      </c>
      <c r="D3135" s="2" t="str">
        <f>"9780470623398"</f>
        <v>9780470623398</v>
      </c>
      <c r="E3135" s="2">
        <v>479844</v>
      </c>
    </row>
    <row r="3136" spans="1:5" x14ac:dyDescent="0.25">
      <c r="A3136" s="4">
        <v>41994.908159722225</v>
      </c>
      <c r="B3136" s="2" t="s">
        <v>407</v>
      </c>
      <c r="C3136" s="2" t="s">
        <v>205</v>
      </c>
      <c r="D3136" s="2" t="str">
        <f>"9780787978570"</f>
        <v>9780787978570</v>
      </c>
      <c r="E3136" s="2">
        <v>226420</v>
      </c>
    </row>
    <row r="3137" spans="1:5" x14ac:dyDescent="0.25">
      <c r="A3137" s="4">
        <v>41994.908171296294</v>
      </c>
      <c r="B3137" s="2" t="s">
        <v>367</v>
      </c>
      <c r="C3137" s="2" t="s">
        <v>26</v>
      </c>
      <c r="D3137" s="2" t="str">
        <f>"9780470758212"</f>
        <v>9780470758212</v>
      </c>
      <c r="E3137" s="2">
        <v>351526</v>
      </c>
    </row>
    <row r="3138" spans="1:5" x14ac:dyDescent="0.25">
      <c r="A3138" s="4">
        <v>41994.908171296294</v>
      </c>
      <c r="B3138" s="2" t="s">
        <v>375</v>
      </c>
      <c r="C3138" s="2" t="s">
        <v>26</v>
      </c>
      <c r="D3138" s="2" t="str">
        <f>"9780787998370"</f>
        <v>9780787998370</v>
      </c>
      <c r="E3138" s="2">
        <v>333844</v>
      </c>
    </row>
    <row r="3139" spans="1:5" x14ac:dyDescent="0.25">
      <c r="A3139" s="4">
        <v>41913.862986111111</v>
      </c>
      <c r="B3139" s="2" t="s">
        <v>3529</v>
      </c>
      <c r="C3139" s="2" t="s">
        <v>5</v>
      </c>
      <c r="D3139" s="2" t="str">
        <f>"9781846427527"</f>
        <v>9781846427527</v>
      </c>
      <c r="E3139" s="2">
        <v>350327</v>
      </c>
    </row>
    <row r="3140" spans="1:5" x14ac:dyDescent="0.25">
      <c r="A3140" s="4">
        <v>41927.44258101852</v>
      </c>
      <c r="B3140" s="2" t="s">
        <v>3222</v>
      </c>
      <c r="C3140" s="2" t="s">
        <v>36</v>
      </c>
      <c r="D3140" s="2" t="str">
        <f>"9780786454877"</f>
        <v>9780786454877</v>
      </c>
      <c r="E3140" s="2">
        <v>1593658</v>
      </c>
    </row>
    <row r="3141" spans="1:5" x14ac:dyDescent="0.25">
      <c r="A3141" s="4">
        <v>41994.908217592594</v>
      </c>
      <c r="B3141" s="2" t="s">
        <v>250</v>
      </c>
      <c r="C3141" s="2" t="s">
        <v>26</v>
      </c>
      <c r="D3141" s="2" t="str">
        <f>"9781118127636"</f>
        <v>9781118127636</v>
      </c>
      <c r="E3141" s="2">
        <v>697695</v>
      </c>
    </row>
    <row r="3142" spans="1:5" x14ac:dyDescent="0.25">
      <c r="A3142" s="4">
        <v>41994.908229166664</v>
      </c>
      <c r="B3142" s="2" t="s">
        <v>210</v>
      </c>
      <c r="C3142" s="2" t="s">
        <v>26</v>
      </c>
      <c r="D3142" s="2" t="str">
        <f>"9781118130384"</f>
        <v>9781118130384</v>
      </c>
      <c r="E3142" s="2">
        <v>708874</v>
      </c>
    </row>
    <row r="3143" spans="1:5" x14ac:dyDescent="0.25">
      <c r="A3143" s="4">
        <v>41927.581979166665</v>
      </c>
      <c r="B3143" s="2" t="s">
        <v>3218</v>
      </c>
      <c r="C3143" s="2" t="s">
        <v>26</v>
      </c>
      <c r="D3143" s="2" t="str">
        <f>"9781405178242"</f>
        <v>9781405178242</v>
      </c>
      <c r="E3143" s="2">
        <v>293096</v>
      </c>
    </row>
    <row r="3144" spans="1:5" x14ac:dyDescent="0.25">
      <c r="A3144" s="4">
        <v>41902.919189814813</v>
      </c>
      <c r="B3144" s="2" t="s">
        <v>3800</v>
      </c>
      <c r="C3144" s="2" t="s">
        <v>26</v>
      </c>
      <c r="D3144" s="2" t="str">
        <f>"9780471464884"</f>
        <v>9780471464884</v>
      </c>
      <c r="E3144" s="2">
        <v>183812</v>
      </c>
    </row>
    <row r="3145" spans="1:5" x14ac:dyDescent="0.25">
      <c r="A3145" s="4">
        <v>41920.830289351848</v>
      </c>
      <c r="B3145" s="2" t="s">
        <v>3355</v>
      </c>
      <c r="C3145" s="2" t="s">
        <v>26</v>
      </c>
      <c r="D3145" s="2" t="str">
        <f>"9780787984328"</f>
        <v>9780787984328</v>
      </c>
      <c r="E3145" s="2">
        <v>257235</v>
      </c>
    </row>
    <row r="3146" spans="1:5" x14ac:dyDescent="0.25">
      <c r="A3146" s="4">
        <v>41933.561655092592</v>
      </c>
      <c r="B3146" s="2" t="s">
        <v>3091</v>
      </c>
      <c r="C3146" s="2" t="s">
        <v>7</v>
      </c>
      <c r="D3146" s="2" t="str">
        <f>"9781452255125"</f>
        <v>9781452255125</v>
      </c>
      <c r="E3146" s="2">
        <v>1598346</v>
      </c>
    </row>
    <row r="3147" spans="1:5" x14ac:dyDescent="0.25">
      <c r="A3147" s="4">
        <v>41994.901921296296</v>
      </c>
      <c r="B3147" s="2" t="s">
        <v>976</v>
      </c>
      <c r="C3147" s="2" t="s">
        <v>119</v>
      </c>
      <c r="D3147" s="2" t="str">
        <f>"9780520938632"</f>
        <v>9780520938632</v>
      </c>
      <c r="E3147" s="2">
        <v>231928</v>
      </c>
    </row>
    <row r="3148" spans="1:5" x14ac:dyDescent="0.25">
      <c r="A3148" s="4">
        <v>41976.556064814817</v>
      </c>
      <c r="B3148" s="2" t="s">
        <v>2686</v>
      </c>
      <c r="C3148" s="2" t="s">
        <v>63</v>
      </c>
      <c r="D3148" s="2" t="str">
        <f>"9781400842483"</f>
        <v>9781400842483</v>
      </c>
      <c r="E3148" s="2">
        <v>967432</v>
      </c>
    </row>
    <row r="3149" spans="1:5" x14ac:dyDescent="0.25">
      <c r="A3149" s="4">
        <v>41994.892939814818</v>
      </c>
      <c r="B3149" s="2" t="s">
        <v>1649</v>
      </c>
      <c r="C3149" s="2" t="s">
        <v>16</v>
      </c>
      <c r="D3149" s="2" t="str">
        <f>"9781462512157"</f>
        <v>9781462512157</v>
      </c>
      <c r="E3149" s="2">
        <v>1367676</v>
      </c>
    </row>
    <row r="3150" spans="1:5" x14ac:dyDescent="0.25">
      <c r="A3150" s="4">
        <v>41994.899062500001</v>
      </c>
      <c r="B3150" s="2" t="s">
        <v>1365</v>
      </c>
      <c r="C3150" s="2" t="s">
        <v>63</v>
      </c>
      <c r="D3150" s="2" t="str">
        <f>"9781400836031"</f>
        <v>9781400836031</v>
      </c>
      <c r="E3150" s="2">
        <v>557125</v>
      </c>
    </row>
    <row r="3151" spans="1:5" x14ac:dyDescent="0.25">
      <c r="A3151" s="4">
        <v>41994.878738425927</v>
      </c>
      <c r="B3151" s="2" t="s">
        <v>2229</v>
      </c>
      <c r="C3151" s="2" t="s">
        <v>2170</v>
      </c>
      <c r="D3151" s="2" t="str">
        <f>"9781848130593"</f>
        <v>9781848130593</v>
      </c>
      <c r="E3151" s="2">
        <v>332896</v>
      </c>
    </row>
    <row r="3152" spans="1:5" x14ac:dyDescent="0.25">
      <c r="A3152" s="4">
        <v>41994.899097222224</v>
      </c>
      <c r="B3152" s="2" t="s">
        <v>1248</v>
      </c>
      <c r="C3152" s="2" t="s">
        <v>63</v>
      </c>
      <c r="D3152" s="2" t="str">
        <f>"9781400842490"</f>
        <v>9781400842490</v>
      </c>
      <c r="E3152" s="2">
        <v>859033</v>
      </c>
    </row>
    <row r="3153" spans="1:5" x14ac:dyDescent="0.25">
      <c r="A3153" s="4">
        <v>41994.899074074077</v>
      </c>
      <c r="B3153" s="2" t="s">
        <v>1341</v>
      </c>
      <c r="C3153" s="2" t="s">
        <v>63</v>
      </c>
      <c r="D3153" s="2" t="str">
        <f>"9781400823291"</f>
        <v>9781400823291</v>
      </c>
      <c r="E3153" s="2">
        <v>617318</v>
      </c>
    </row>
    <row r="3154" spans="1:5" x14ac:dyDescent="0.25">
      <c r="A3154" s="4">
        <v>41977.964479166665</v>
      </c>
      <c r="B3154" s="2" t="s">
        <v>2582</v>
      </c>
      <c r="C3154" s="2" t="s">
        <v>63</v>
      </c>
      <c r="D3154" s="2" t="str">
        <f>"9781400848874"</f>
        <v>9781400848874</v>
      </c>
      <c r="E3154" s="2">
        <v>1458381</v>
      </c>
    </row>
    <row r="3155" spans="1:5" x14ac:dyDescent="0.25">
      <c r="A3155" s="4">
        <v>41934.520972222221</v>
      </c>
      <c r="B3155" s="2" t="s">
        <v>3061</v>
      </c>
      <c r="C3155" s="2" t="s">
        <v>5</v>
      </c>
      <c r="D3155" s="2" t="str">
        <f>"9781846428128"</f>
        <v>9781846428128</v>
      </c>
      <c r="E3155" s="2">
        <v>355278</v>
      </c>
    </row>
    <row r="3156" spans="1:5" x14ac:dyDescent="0.25">
      <c r="A3156" s="4">
        <v>41932.627210648148</v>
      </c>
      <c r="B3156" s="2" t="s">
        <v>3114</v>
      </c>
      <c r="C3156" s="2" t="s">
        <v>96</v>
      </c>
      <c r="D3156" s="2" t="str">
        <f>"9780807877777"</f>
        <v>9780807877777</v>
      </c>
      <c r="E3156" s="2">
        <v>732134</v>
      </c>
    </row>
    <row r="3157" spans="1:5" x14ac:dyDescent="0.25">
      <c r="A3157" s="4">
        <v>41908.691377314812</v>
      </c>
      <c r="B3157" s="2" t="s">
        <v>3643</v>
      </c>
      <c r="C3157" s="2" t="s">
        <v>16</v>
      </c>
      <c r="D3157" s="2" t="str">
        <f>"9781462515691"</f>
        <v>9781462515691</v>
      </c>
      <c r="E3157" s="2">
        <v>1673310</v>
      </c>
    </row>
    <row r="3158" spans="1:5" x14ac:dyDescent="0.25">
      <c r="A3158" s="4">
        <v>41994.896111111113</v>
      </c>
      <c r="B3158" s="2" t="s">
        <v>1570</v>
      </c>
      <c r="C3158" s="2" t="s">
        <v>28</v>
      </c>
      <c r="D3158" s="2" t="str">
        <f>"9780253114112"</f>
        <v>9780253114112</v>
      </c>
      <c r="E3158" s="2">
        <v>613436</v>
      </c>
    </row>
    <row r="3159" spans="1:5" x14ac:dyDescent="0.25">
      <c r="A3159" s="4">
        <v>41890.734293981484</v>
      </c>
      <c r="B3159" s="2" t="s">
        <v>3896</v>
      </c>
      <c r="C3159" s="2" t="s">
        <v>26</v>
      </c>
      <c r="D3159" s="2" t="str">
        <f>"9780470455319"</f>
        <v>9780470455319</v>
      </c>
      <c r="E3159" s="2">
        <v>427885</v>
      </c>
    </row>
    <row r="3160" spans="1:5" x14ac:dyDescent="0.25">
      <c r="A3160" s="4">
        <v>41994.90824074074</v>
      </c>
      <c r="B3160" s="2" t="s">
        <v>192</v>
      </c>
      <c r="C3160" s="2" t="s">
        <v>160</v>
      </c>
      <c r="D3160" s="2" t="str">
        <f>"9781119953043"</f>
        <v>9781119953043</v>
      </c>
      <c r="E3160" s="2">
        <v>818555</v>
      </c>
    </row>
    <row r="3161" spans="1:5" x14ac:dyDescent="0.25">
      <c r="A3161" s="4">
        <v>41994.908182870371</v>
      </c>
      <c r="B3161" s="2" t="s">
        <v>347</v>
      </c>
      <c r="C3161" s="2" t="s">
        <v>26</v>
      </c>
      <c r="D3161" s="2" t="str">
        <f>"9780470501191"</f>
        <v>9780470501191</v>
      </c>
      <c r="E3161" s="2">
        <v>456276</v>
      </c>
    </row>
    <row r="3162" spans="1:5" x14ac:dyDescent="0.25">
      <c r="A3162" s="4">
        <v>41994.901979166665</v>
      </c>
      <c r="B3162" s="2" t="s">
        <v>782</v>
      </c>
      <c r="C3162" s="2" t="s">
        <v>119</v>
      </c>
      <c r="D3162" s="2" t="str">
        <f>"9780520952416"</f>
        <v>9780520952416</v>
      </c>
      <c r="E3162" s="2">
        <v>881934</v>
      </c>
    </row>
    <row r="3163" spans="1:5" x14ac:dyDescent="0.25">
      <c r="A3163" s="4">
        <v>41994.899155092593</v>
      </c>
      <c r="B3163" s="2" t="s">
        <v>1071</v>
      </c>
      <c r="C3163" s="2" t="s">
        <v>63</v>
      </c>
      <c r="D3163" s="2" t="str">
        <f>"9781400852765"</f>
        <v>9781400852765</v>
      </c>
      <c r="E3163" s="2">
        <v>1680053</v>
      </c>
    </row>
    <row r="3164" spans="1:5" x14ac:dyDescent="0.25">
      <c r="A3164" s="4">
        <v>41994.89912037037</v>
      </c>
      <c r="B3164" s="2" t="s">
        <v>1191</v>
      </c>
      <c r="C3164" s="2" t="s">
        <v>63</v>
      </c>
      <c r="D3164" s="2" t="str">
        <f>"9781400846924"</f>
        <v>9781400846924</v>
      </c>
      <c r="E3164" s="2">
        <v>1107739</v>
      </c>
    </row>
    <row r="3165" spans="1:5" x14ac:dyDescent="0.25">
      <c r="A3165" s="4">
        <v>41994.885000000002</v>
      </c>
      <c r="B3165" s="2" t="s">
        <v>2104</v>
      </c>
      <c r="C3165" s="2" t="s">
        <v>18</v>
      </c>
      <c r="D3165" s="2" t="str">
        <f>"9781441192257"</f>
        <v>9781441192257</v>
      </c>
      <c r="E3165" s="2">
        <v>661035</v>
      </c>
    </row>
    <row r="3166" spans="1:5" x14ac:dyDescent="0.25">
      <c r="A3166" s="4">
        <v>41994.899085648147</v>
      </c>
      <c r="B3166" s="2" t="s">
        <v>1282</v>
      </c>
      <c r="C3166" s="2" t="s">
        <v>63</v>
      </c>
      <c r="D3166" s="2" t="str">
        <f>"9781400839469"</f>
        <v>9781400839469</v>
      </c>
      <c r="E3166" s="2">
        <v>738677</v>
      </c>
    </row>
    <row r="3167" spans="1:5" x14ac:dyDescent="0.25">
      <c r="A3167" s="4">
        <v>41914.773773148147</v>
      </c>
      <c r="B3167" s="2" t="s">
        <v>3508</v>
      </c>
      <c r="C3167" s="2" t="s">
        <v>63</v>
      </c>
      <c r="D3167" s="2" t="str">
        <f>"9781400851294"</f>
        <v>9781400851294</v>
      </c>
      <c r="E3167" s="2">
        <v>1602933</v>
      </c>
    </row>
    <row r="3168" spans="1:5" x14ac:dyDescent="0.25">
      <c r="A3168" s="4">
        <v>41925.882025462961</v>
      </c>
      <c r="B3168" s="2" t="s">
        <v>3260</v>
      </c>
      <c r="C3168" s="2" t="s">
        <v>26</v>
      </c>
      <c r="D3168" s="2" t="str">
        <f>"9780470157923"</f>
        <v>9780470157923</v>
      </c>
      <c r="E3168" s="2">
        <v>456084</v>
      </c>
    </row>
    <row r="3169" spans="1:5" x14ac:dyDescent="0.25">
      <c r="A3169" s="4">
        <v>41975.801493055558</v>
      </c>
      <c r="B3169" s="2" t="s">
        <v>2781</v>
      </c>
      <c r="C3169" s="2" t="s">
        <v>119</v>
      </c>
      <c r="D3169" s="2" t="str">
        <f>"9780520924079"</f>
        <v>9780520924079</v>
      </c>
      <c r="E3169" s="2">
        <v>800331</v>
      </c>
    </row>
    <row r="3170" spans="1:5" x14ac:dyDescent="0.25">
      <c r="A3170" s="4">
        <v>41994.899155092593</v>
      </c>
      <c r="B3170" s="2" t="s">
        <v>1063</v>
      </c>
      <c r="C3170" s="2" t="s">
        <v>63</v>
      </c>
      <c r="D3170" s="2" t="str">
        <f>"9781400852093"</f>
        <v>9781400852093</v>
      </c>
      <c r="E3170" s="2">
        <v>1699524</v>
      </c>
    </row>
    <row r="3171" spans="1:5" x14ac:dyDescent="0.25">
      <c r="A3171" s="4">
        <v>41994.901967592596</v>
      </c>
      <c r="B3171" s="2" t="s">
        <v>814</v>
      </c>
      <c r="C3171" s="2" t="s">
        <v>119</v>
      </c>
      <c r="D3171" s="2" t="str">
        <f>"9780520942035"</f>
        <v>9780520942035</v>
      </c>
      <c r="E3171" s="2">
        <v>837292</v>
      </c>
    </row>
    <row r="3172" spans="1:5" x14ac:dyDescent="0.25">
      <c r="A3172" s="4">
        <v>41994.892928240741</v>
      </c>
      <c r="B3172" s="2" t="s">
        <v>1691</v>
      </c>
      <c r="C3172" s="2" t="s">
        <v>16</v>
      </c>
      <c r="D3172" s="2" t="str">
        <f>"9781462502981"</f>
        <v>9781462502981</v>
      </c>
      <c r="E3172" s="2">
        <v>873350</v>
      </c>
    </row>
    <row r="3173" spans="1:5" x14ac:dyDescent="0.25">
      <c r="A3173" s="4">
        <v>41975.799733796295</v>
      </c>
      <c r="B3173" s="2" t="s">
        <v>2782</v>
      </c>
      <c r="C3173" s="2" t="s">
        <v>7</v>
      </c>
      <c r="D3173" s="2" t="str">
        <f>"9781848608931"</f>
        <v>9781848608931</v>
      </c>
      <c r="E3173" s="2">
        <v>456757</v>
      </c>
    </row>
    <row r="3174" spans="1:5" x14ac:dyDescent="0.25">
      <c r="A3174" s="4">
        <v>41994.908182870371</v>
      </c>
      <c r="B3174" s="2" t="s">
        <v>351</v>
      </c>
      <c r="C3174" s="2" t="s">
        <v>26</v>
      </c>
      <c r="D3174" s="2" t="str">
        <f>"9780470494813"</f>
        <v>9780470494813</v>
      </c>
      <c r="E3174" s="2">
        <v>448938</v>
      </c>
    </row>
    <row r="3175" spans="1:5" x14ac:dyDescent="0.25">
      <c r="A3175" s="4">
        <v>41911.866562499999</v>
      </c>
      <c r="B3175" s="2" t="s">
        <v>3581</v>
      </c>
      <c r="C3175" s="2" t="s">
        <v>119</v>
      </c>
      <c r="D3175" s="2" t="str">
        <f>"9780520958258"</f>
        <v>9780520958258</v>
      </c>
      <c r="E3175" s="2">
        <v>1650800</v>
      </c>
    </row>
    <row r="3176" spans="1:5" x14ac:dyDescent="0.25">
      <c r="A3176" s="4">
        <v>41911.057384259257</v>
      </c>
      <c r="B3176" s="2" t="s">
        <v>3610</v>
      </c>
      <c r="C3176" s="2" t="s">
        <v>26</v>
      </c>
      <c r="D3176" s="2" t="str">
        <f>"9780470469279"</f>
        <v>9780470469279</v>
      </c>
      <c r="E3176" s="2">
        <v>1120600</v>
      </c>
    </row>
    <row r="3177" spans="1:5" x14ac:dyDescent="0.25">
      <c r="A3177" s="4">
        <v>41891.572500000002</v>
      </c>
      <c r="B3177" s="2" t="s">
        <v>3610</v>
      </c>
      <c r="C3177" s="2" t="s">
        <v>26</v>
      </c>
      <c r="D3177" s="2" t="str">
        <f>"9781118041567"</f>
        <v>9781118041567</v>
      </c>
      <c r="E3177" s="2">
        <v>565082</v>
      </c>
    </row>
    <row r="3178" spans="1:5" x14ac:dyDescent="0.25">
      <c r="A3178" s="4">
        <v>41983.491435185184</v>
      </c>
      <c r="B3178" s="2" t="s">
        <v>2407</v>
      </c>
      <c r="C3178" s="2" t="s">
        <v>26</v>
      </c>
      <c r="D3178" s="2" t="str">
        <f>"9780470605394"</f>
        <v>9780470605394</v>
      </c>
      <c r="E3178" s="2">
        <v>468602</v>
      </c>
    </row>
    <row r="3179" spans="1:5" x14ac:dyDescent="0.25">
      <c r="A3179" s="4">
        <v>41994.892905092594</v>
      </c>
      <c r="B3179" s="2" t="s">
        <v>1763</v>
      </c>
      <c r="C3179" s="2" t="s">
        <v>16</v>
      </c>
      <c r="D3179" s="2" t="str">
        <f>"9781606233221"</f>
        <v>9781606233221</v>
      </c>
      <c r="E3179" s="2">
        <v>460406</v>
      </c>
    </row>
    <row r="3180" spans="1:5" x14ac:dyDescent="0.25">
      <c r="A3180" s="4">
        <v>41994.908206018517</v>
      </c>
      <c r="B3180" s="2" t="s">
        <v>287</v>
      </c>
      <c r="C3180" s="2" t="s">
        <v>160</v>
      </c>
      <c r="D3180" s="2" t="str">
        <f>"9781118013106"</f>
        <v>9781118013106</v>
      </c>
      <c r="E3180" s="2">
        <v>661643</v>
      </c>
    </row>
    <row r="3181" spans="1:5" x14ac:dyDescent="0.25">
      <c r="A3181" s="4">
        <v>41933.943379629629</v>
      </c>
      <c r="B3181" s="2" t="s">
        <v>3074</v>
      </c>
      <c r="C3181" s="2" t="s">
        <v>18</v>
      </c>
      <c r="D3181" s="2" t="str">
        <f>"9781408155196"</f>
        <v>9781408155196</v>
      </c>
      <c r="E3181" s="2">
        <v>877010</v>
      </c>
    </row>
    <row r="3182" spans="1:5" x14ac:dyDescent="0.25">
      <c r="A3182" s="4">
        <v>41994.89912037037</v>
      </c>
      <c r="B3182" s="2" t="s">
        <v>1162</v>
      </c>
      <c r="C3182" s="2" t="s">
        <v>63</v>
      </c>
      <c r="D3182" s="2" t="str">
        <f>"9781400847815"</f>
        <v>9781400847815</v>
      </c>
      <c r="E3182" s="2">
        <v>1181175</v>
      </c>
    </row>
    <row r="3183" spans="1:5" x14ac:dyDescent="0.25">
      <c r="A3183" s="4">
        <v>41994.899050925924</v>
      </c>
      <c r="B3183" s="2" t="s">
        <v>1417</v>
      </c>
      <c r="C3183" s="2" t="s">
        <v>63</v>
      </c>
      <c r="D3183" s="2" t="str">
        <f>"9781400827954"</f>
        <v>9781400827954</v>
      </c>
      <c r="E3183" s="2">
        <v>457757</v>
      </c>
    </row>
    <row r="3184" spans="1:5" x14ac:dyDescent="0.25">
      <c r="A3184" s="4">
        <v>41994.88994212963</v>
      </c>
      <c r="B3184" s="2" t="s">
        <v>1797</v>
      </c>
      <c r="C3184" s="2" t="s">
        <v>72</v>
      </c>
      <c r="D3184" s="2" t="str">
        <f>"9780748691142"</f>
        <v>9780748691142</v>
      </c>
      <c r="E3184" s="2">
        <v>1767554</v>
      </c>
    </row>
    <row r="3185" spans="1:5" x14ac:dyDescent="0.25">
      <c r="A3185" s="4">
        <v>41994.896134259259</v>
      </c>
      <c r="B3185" s="2" t="s">
        <v>1518</v>
      </c>
      <c r="C3185" s="2" t="s">
        <v>28</v>
      </c>
      <c r="D3185" s="2" t="str">
        <f>"9780253002204"</f>
        <v>9780253002204</v>
      </c>
      <c r="E3185" s="2">
        <v>816843</v>
      </c>
    </row>
    <row r="3186" spans="1:5" x14ac:dyDescent="0.25">
      <c r="A3186" s="4">
        <v>41911.898252314815</v>
      </c>
      <c r="B3186" s="2" t="s">
        <v>3579</v>
      </c>
      <c r="C3186" s="2" t="s">
        <v>119</v>
      </c>
      <c r="D3186" s="2" t="str">
        <f>"9780520942790"</f>
        <v>9780520942790</v>
      </c>
      <c r="E3186" s="2">
        <v>470886</v>
      </c>
    </row>
    <row r="3187" spans="1:5" x14ac:dyDescent="0.25">
      <c r="A3187" s="4">
        <v>41994.902013888888</v>
      </c>
      <c r="B3187" s="2" t="s">
        <v>686</v>
      </c>
      <c r="C3187" s="2" t="s">
        <v>119</v>
      </c>
      <c r="D3187" s="2" t="str">
        <f>"9780520957602"</f>
        <v>9780520957602</v>
      </c>
      <c r="E3187" s="2">
        <v>1543760</v>
      </c>
    </row>
    <row r="3188" spans="1:5" x14ac:dyDescent="0.25">
      <c r="A3188" s="4">
        <v>41994.899108796293</v>
      </c>
      <c r="B3188" s="2" t="s">
        <v>1211</v>
      </c>
      <c r="C3188" s="2" t="s">
        <v>63</v>
      </c>
      <c r="D3188" s="2" t="str">
        <f>"9781400844609"</f>
        <v>9781400844609</v>
      </c>
      <c r="E3188" s="2">
        <v>1042897</v>
      </c>
    </row>
    <row r="3189" spans="1:5" x14ac:dyDescent="0.25">
      <c r="A3189" s="4">
        <v>41974.540763888886</v>
      </c>
      <c r="B3189" s="2" t="s">
        <v>2961</v>
      </c>
      <c r="C3189" s="2" t="s">
        <v>18</v>
      </c>
      <c r="D3189" s="2" t="str">
        <f>"9781780931265"</f>
        <v>9781780931265</v>
      </c>
      <c r="E3189" s="2">
        <v>1172529</v>
      </c>
    </row>
    <row r="3190" spans="1:5" x14ac:dyDescent="0.25">
      <c r="A3190" s="4">
        <v>41994.908217592594</v>
      </c>
      <c r="B3190" s="2" t="s">
        <v>247</v>
      </c>
      <c r="C3190" s="2" t="s">
        <v>26</v>
      </c>
      <c r="D3190" s="2" t="str">
        <f>"9781118131862"</f>
        <v>9781118131862</v>
      </c>
      <c r="E3190" s="2">
        <v>697742</v>
      </c>
    </row>
    <row r="3191" spans="1:5" x14ac:dyDescent="0.25">
      <c r="A3191" s="4">
        <v>41994.901932870373</v>
      </c>
      <c r="B3191" s="2" t="s">
        <v>950</v>
      </c>
      <c r="C3191" s="2" t="s">
        <v>119</v>
      </c>
      <c r="D3191" s="2" t="str">
        <f>"9780520941533"</f>
        <v>9780520941533</v>
      </c>
      <c r="E3191" s="2">
        <v>470861</v>
      </c>
    </row>
    <row r="3192" spans="1:5" x14ac:dyDescent="0.25">
      <c r="A3192" s="4">
        <v>41928.492418981485</v>
      </c>
      <c r="B3192" s="2" t="s">
        <v>3197</v>
      </c>
      <c r="C3192" s="2" t="s">
        <v>96</v>
      </c>
      <c r="D3192" s="2" t="str">
        <f>"9780807899588"</f>
        <v>9780807899588</v>
      </c>
      <c r="E3192" s="2">
        <v>605932</v>
      </c>
    </row>
    <row r="3193" spans="1:5" x14ac:dyDescent="0.25">
      <c r="A3193" s="4">
        <v>41994.896180555559</v>
      </c>
      <c r="B3193" s="2" t="s">
        <v>1443</v>
      </c>
      <c r="C3193" s="2" t="s">
        <v>28</v>
      </c>
      <c r="D3193" s="2" t="str">
        <f>"9780253013941"</f>
        <v>9780253013941</v>
      </c>
      <c r="E3193" s="2">
        <v>1680204</v>
      </c>
    </row>
    <row r="3194" spans="1:5" x14ac:dyDescent="0.25">
      <c r="A3194" s="4">
        <v>41994.889872685184</v>
      </c>
      <c r="B3194" s="2" t="s">
        <v>1883</v>
      </c>
      <c r="C3194" s="2" t="s">
        <v>72</v>
      </c>
      <c r="D3194" s="2" t="str">
        <f>"9780748643271"</f>
        <v>9780748643271</v>
      </c>
      <c r="E3194" s="2">
        <v>615834</v>
      </c>
    </row>
    <row r="3195" spans="1:5" x14ac:dyDescent="0.25">
      <c r="A3195" s="4">
        <v>41914.743645833332</v>
      </c>
      <c r="B3195" s="2" t="s">
        <v>3510</v>
      </c>
      <c r="C3195" s="2" t="s">
        <v>28</v>
      </c>
      <c r="D3195" s="2" t="str">
        <f>"9780253005526"</f>
        <v>9780253005526</v>
      </c>
      <c r="E3195" s="2">
        <v>670308</v>
      </c>
    </row>
    <row r="3196" spans="1:5" x14ac:dyDescent="0.25">
      <c r="A3196" s="4">
        <v>41994.889930555553</v>
      </c>
      <c r="B3196" s="2" t="s">
        <v>1821</v>
      </c>
      <c r="C3196" s="2" t="s">
        <v>72</v>
      </c>
      <c r="D3196" s="2" t="str">
        <f>"9780748680375"</f>
        <v>9780748680375</v>
      </c>
      <c r="E3196" s="2">
        <v>1168208</v>
      </c>
    </row>
    <row r="3197" spans="1:5" x14ac:dyDescent="0.25">
      <c r="A3197" s="4">
        <v>41994.908229166664</v>
      </c>
      <c r="B3197" s="2" t="s">
        <v>203</v>
      </c>
      <c r="C3197" s="2" t="s">
        <v>26</v>
      </c>
      <c r="D3197" s="2" t="str">
        <f>"9781118103784"</f>
        <v>9781118103784</v>
      </c>
      <c r="E3197" s="2">
        <v>817312</v>
      </c>
    </row>
    <row r="3198" spans="1:5" x14ac:dyDescent="0.25">
      <c r="A3198" s="4">
        <v>41893.512152777781</v>
      </c>
      <c r="B3198" s="2" t="s">
        <v>3883</v>
      </c>
      <c r="C3198" s="2" t="s">
        <v>16</v>
      </c>
      <c r="D3198" s="2" t="str">
        <f>"9781462503919"</f>
        <v>9781462503919</v>
      </c>
      <c r="E3198" s="2">
        <v>864766</v>
      </c>
    </row>
    <row r="3199" spans="1:5" x14ac:dyDescent="0.25">
      <c r="A3199" s="4">
        <v>41976.418680555558</v>
      </c>
      <c r="B3199" s="2" t="s">
        <v>2716</v>
      </c>
      <c r="C3199" s="2" t="s">
        <v>26</v>
      </c>
      <c r="D3199" s="2" t="str">
        <f>"9780470779903"</f>
        <v>9780470779903</v>
      </c>
      <c r="E3199" s="2">
        <v>351060</v>
      </c>
    </row>
    <row r="3200" spans="1:5" x14ac:dyDescent="0.25">
      <c r="A3200" s="4">
        <v>41994.892905092594</v>
      </c>
      <c r="B3200" s="2" t="s">
        <v>1748</v>
      </c>
      <c r="C3200" s="2" t="s">
        <v>16</v>
      </c>
      <c r="D3200" s="2" t="str">
        <f>"9781606235249"</f>
        <v>9781606235249</v>
      </c>
      <c r="E3200" s="2">
        <v>479604</v>
      </c>
    </row>
    <row r="3201" spans="1:5" x14ac:dyDescent="0.25">
      <c r="A3201" s="4">
        <v>41994.905578703707</v>
      </c>
      <c r="B3201" s="2" t="s">
        <v>592</v>
      </c>
      <c r="C3201" s="2" t="s">
        <v>96</v>
      </c>
      <c r="D3201" s="2" t="str">
        <f>"9780807898413"</f>
        <v>9780807898413</v>
      </c>
      <c r="E3201" s="2">
        <v>565708</v>
      </c>
    </row>
    <row r="3202" spans="1:5" x14ac:dyDescent="0.25">
      <c r="A3202" s="4">
        <v>41921.849502314813</v>
      </c>
      <c r="B3202" s="2" t="s">
        <v>3329</v>
      </c>
      <c r="C3202" s="2" t="s">
        <v>119</v>
      </c>
      <c r="D3202" s="2" t="str">
        <f>"9780520957893"</f>
        <v>9780520957893</v>
      </c>
      <c r="E3202" s="2">
        <v>1645301</v>
      </c>
    </row>
    <row r="3203" spans="1:5" x14ac:dyDescent="0.25">
      <c r="A3203" s="4">
        <v>41994.901979166665</v>
      </c>
      <c r="B3203" s="2" t="s">
        <v>800</v>
      </c>
      <c r="C3203" s="2" t="s">
        <v>119</v>
      </c>
      <c r="D3203" s="2" t="str">
        <f>"9780520917514"</f>
        <v>9780520917514</v>
      </c>
      <c r="E3203" s="2">
        <v>858755</v>
      </c>
    </row>
    <row r="3204" spans="1:5" x14ac:dyDescent="0.25">
      <c r="A3204" s="4">
        <v>41919.571504629632</v>
      </c>
      <c r="B3204" s="2" t="s">
        <v>3393</v>
      </c>
      <c r="C3204" s="2" t="s">
        <v>2170</v>
      </c>
      <c r="D3204" s="2" t="str">
        <f>"9781848130616"</f>
        <v>9781848130616</v>
      </c>
      <c r="E3204" s="2">
        <v>339235</v>
      </c>
    </row>
    <row r="3205" spans="1:5" x14ac:dyDescent="0.25">
      <c r="A3205" s="4">
        <v>41920.487245370372</v>
      </c>
      <c r="B3205" s="2" t="s">
        <v>3373</v>
      </c>
      <c r="C3205" s="2" t="s">
        <v>18</v>
      </c>
      <c r="D3205" s="2" t="str">
        <f>"9780857851437"</f>
        <v>9780857851437</v>
      </c>
      <c r="E3205" s="2">
        <v>799555</v>
      </c>
    </row>
    <row r="3206" spans="1:5" x14ac:dyDescent="0.25">
      <c r="A3206" s="4">
        <v>41920.45994212963</v>
      </c>
      <c r="B3206" s="2" t="s">
        <v>3375</v>
      </c>
      <c r="C3206" s="2" t="s">
        <v>63</v>
      </c>
      <c r="D3206" s="2" t="str">
        <f>"9781400830282"</f>
        <v>9781400830282</v>
      </c>
      <c r="E3206" s="2">
        <v>457874</v>
      </c>
    </row>
    <row r="3207" spans="1:5" x14ac:dyDescent="0.25">
      <c r="A3207" s="4">
        <v>41994.908182870371</v>
      </c>
      <c r="B3207" s="2" t="s">
        <v>348</v>
      </c>
      <c r="C3207" s="2" t="s">
        <v>26</v>
      </c>
      <c r="D3207" s="2" t="str">
        <f>"9780470538432"</f>
        <v>9780470538432</v>
      </c>
      <c r="E3207" s="2">
        <v>456063</v>
      </c>
    </row>
    <row r="3208" spans="1:5" x14ac:dyDescent="0.25">
      <c r="A3208" s="4">
        <v>41994.885011574072</v>
      </c>
      <c r="B3208" s="2" t="s">
        <v>2075</v>
      </c>
      <c r="C3208" s="2" t="s">
        <v>18</v>
      </c>
      <c r="D3208" s="2" t="str">
        <f>"9781849666268"</f>
        <v>9781849666268</v>
      </c>
      <c r="E3208" s="2">
        <v>773623</v>
      </c>
    </row>
    <row r="3209" spans="1:5" x14ac:dyDescent="0.25">
      <c r="A3209" s="4">
        <v>41994.885023148148</v>
      </c>
      <c r="B3209" s="2" t="s">
        <v>2054</v>
      </c>
      <c r="C3209" s="2" t="s">
        <v>18</v>
      </c>
      <c r="D3209" s="2" t="str">
        <f>"9781441132680"</f>
        <v>9781441132680</v>
      </c>
      <c r="E3209" s="2">
        <v>922875</v>
      </c>
    </row>
    <row r="3210" spans="1:5" x14ac:dyDescent="0.25">
      <c r="A3210" s="4">
        <v>41974.896874999999</v>
      </c>
      <c r="B3210" s="2" t="s">
        <v>2898</v>
      </c>
      <c r="C3210" s="2" t="s">
        <v>63</v>
      </c>
      <c r="D3210" s="2" t="str">
        <f>"9781400849963"</f>
        <v>9781400849963</v>
      </c>
      <c r="E3210" s="2">
        <v>1511114</v>
      </c>
    </row>
    <row r="3211" spans="1:5" x14ac:dyDescent="0.25">
      <c r="A3211" s="4">
        <v>41897.708784722221</v>
      </c>
      <c r="B3211" s="2" t="s">
        <v>3869</v>
      </c>
      <c r="C3211" s="2" t="s">
        <v>26</v>
      </c>
      <c r="D3211" s="2" t="str">
        <f>"9780470885598"</f>
        <v>9780470885598</v>
      </c>
      <c r="E3211" s="2">
        <v>589081</v>
      </c>
    </row>
    <row r="3212" spans="1:5" x14ac:dyDescent="0.25">
      <c r="A3212" s="4">
        <v>41994.899050925924</v>
      </c>
      <c r="B3212" s="2" t="s">
        <v>1415</v>
      </c>
      <c r="C3212" s="2" t="s">
        <v>63</v>
      </c>
      <c r="D3212" s="2" t="str">
        <f>"9781400827558"</f>
        <v>9781400827558</v>
      </c>
      <c r="E3212" s="2">
        <v>457768</v>
      </c>
    </row>
    <row r="3213" spans="1:5" x14ac:dyDescent="0.25">
      <c r="A3213" s="4">
        <v>41918.354594907411</v>
      </c>
      <c r="B3213" s="2" t="s">
        <v>3445</v>
      </c>
      <c r="C3213" s="2" t="s">
        <v>7</v>
      </c>
      <c r="D3213" s="2" t="str">
        <f>"9781452264820"</f>
        <v>9781452264820</v>
      </c>
      <c r="E3213" s="2">
        <v>996861</v>
      </c>
    </row>
    <row r="3214" spans="1:5" x14ac:dyDescent="0.25">
      <c r="A3214" s="4">
        <v>41981.695787037039</v>
      </c>
      <c r="B3214" s="2" t="s">
        <v>2468</v>
      </c>
      <c r="C3214" s="2" t="s">
        <v>119</v>
      </c>
      <c r="D3214" s="2" t="str">
        <f>"9780520958173"</f>
        <v>9780520958173</v>
      </c>
      <c r="E3214" s="2">
        <v>1597004</v>
      </c>
    </row>
    <row r="3215" spans="1:5" x14ac:dyDescent="0.25">
      <c r="A3215" s="4">
        <v>41994.905613425923</v>
      </c>
      <c r="B3215" s="2" t="s">
        <v>497</v>
      </c>
      <c r="C3215" s="2" t="s">
        <v>30</v>
      </c>
      <c r="D3215" s="2" t="str">
        <f>"9781469607269"</f>
        <v>9781469607269</v>
      </c>
      <c r="E3215" s="2">
        <v>1014764</v>
      </c>
    </row>
    <row r="3216" spans="1:5" x14ac:dyDescent="0.25">
      <c r="A3216" s="4">
        <v>41994.885046296295</v>
      </c>
      <c r="B3216" s="2" t="s">
        <v>1975</v>
      </c>
      <c r="C3216" s="2" t="s">
        <v>18</v>
      </c>
      <c r="D3216" s="2" t="str">
        <f>"9780567157324"</f>
        <v>9780567157324</v>
      </c>
      <c r="E3216" s="2">
        <v>1572208</v>
      </c>
    </row>
    <row r="3217" spans="1:5" x14ac:dyDescent="0.25">
      <c r="A3217" s="4">
        <v>41994.908182870371</v>
      </c>
      <c r="B3217" s="2" t="s">
        <v>350</v>
      </c>
      <c r="C3217" s="2" t="s">
        <v>26</v>
      </c>
      <c r="D3217" s="2" t="str">
        <f>"9781444313536"</f>
        <v>9781444313536</v>
      </c>
      <c r="E3217" s="2">
        <v>454373</v>
      </c>
    </row>
    <row r="3218" spans="1:5" x14ac:dyDescent="0.25">
      <c r="A3218" s="4">
        <v>41975.239594907405</v>
      </c>
      <c r="B3218" s="2" t="s">
        <v>2873</v>
      </c>
      <c r="C3218" s="2" t="s">
        <v>63</v>
      </c>
      <c r="D3218" s="2" t="str">
        <f>"9781400848195"</f>
        <v>9781400848195</v>
      </c>
      <c r="E3218" s="2">
        <v>1213974</v>
      </c>
    </row>
    <row r="3219" spans="1:5" x14ac:dyDescent="0.25">
      <c r="A3219" s="4">
        <v>41994.889872685184</v>
      </c>
      <c r="B3219" s="2" t="s">
        <v>1888</v>
      </c>
      <c r="C3219" s="2" t="s">
        <v>72</v>
      </c>
      <c r="D3219" s="2" t="str">
        <f>"9780748635566"</f>
        <v>9780748635566</v>
      </c>
      <c r="E3219" s="2">
        <v>581391</v>
      </c>
    </row>
    <row r="3220" spans="1:5" x14ac:dyDescent="0.25">
      <c r="A3220" s="4">
        <v>41994.889872685184</v>
      </c>
      <c r="B3220" s="2" t="s">
        <v>1891</v>
      </c>
      <c r="C3220" s="2" t="s">
        <v>72</v>
      </c>
      <c r="D3220" s="2" t="str">
        <f>"9780748637102"</f>
        <v>9780748637102</v>
      </c>
      <c r="E3220" s="2">
        <v>581383</v>
      </c>
    </row>
    <row r="3221" spans="1:5" x14ac:dyDescent="0.25">
      <c r="A3221" s="4">
        <v>41994.889930555553</v>
      </c>
      <c r="B3221" s="2" t="s">
        <v>1804</v>
      </c>
      <c r="C3221" s="2" t="s">
        <v>72</v>
      </c>
      <c r="D3221" s="2" t="str">
        <f>"9780748691333"</f>
        <v>9780748691333</v>
      </c>
      <c r="E3221" s="2">
        <v>1698596</v>
      </c>
    </row>
    <row r="3222" spans="1:5" x14ac:dyDescent="0.25">
      <c r="A3222" s="4">
        <v>41833.884629629632</v>
      </c>
      <c r="B3222" s="2" t="s">
        <v>3986</v>
      </c>
      <c r="C3222" s="2" t="s">
        <v>96</v>
      </c>
      <c r="D3222" s="2" t="str">
        <f>"9780807898888"</f>
        <v>9780807898888</v>
      </c>
      <c r="E3222" s="2">
        <v>880026</v>
      </c>
    </row>
    <row r="3223" spans="1:5" x14ac:dyDescent="0.25">
      <c r="A3223" s="4">
        <v>41994.892905092594</v>
      </c>
      <c r="B3223" s="2" t="s">
        <v>1742</v>
      </c>
      <c r="C3223" s="2" t="s">
        <v>16</v>
      </c>
      <c r="D3223" s="2" t="str">
        <f>"9781606236611"</f>
        <v>9781606236611</v>
      </c>
      <c r="E3223" s="2">
        <v>515892</v>
      </c>
    </row>
    <row r="3224" spans="1:5" x14ac:dyDescent="0.25">
      <c r="A3224" s="4">
        <v>41994.892916666664</v>
      </c>
      <c r="B3224" s="2" t="s">
        <v>1718</v>
      </c>
      <c r="C3224" s="2" t="s">
        <v>16</v>
      </c>
      <c r="D3224" s="2" t="str">
        <f>"9781609187569"</f>
        <v>9781609187569</v>
      </c>
      <c r="E3224" s="2">
        <v>684290</v>
      </c>
    </row>
    <row r="3225" spans="1:5" x14ac:dyDescent="0.25">
      <c r="A3225" s="4">
        <v>41983.446168981478</v>
      </c>
      <c r="B3225" s="2" t="s">
        <v>2412</v>
      </c>
      <c r="C3225" s="2" t="s">
        <v>26</v>
      </c>
      <c r="D3225" s="2" t="str">
        <f>"9780470642269"</f>
        <v>9780470642269</v>
      </c>
      <c r="E3225" s="2">
        <v>588895</v>
      </c>
    </row>
    <row r="3226" spans="1:5" x14ac:dyDescent="0.25">
      <c r="A3226" s="4">
        <v>41904.700428240743</v>
      </c>
      <c r="B3226" s="2" t="s">
        <v>3770</v>
      </c>
      <c r="C3226" s="2" t="s">
        <v>26</v>
      </c>
      <c r="D3226" s="2" t="str">
        <f>"9780470585481"</f>
        <v>9780470585481</v>
      </c>
      <c r="E3226" s="2">
        <v>477738</v>
      </c>
    </row>
    <row r="3227" spans="1:5" x14ac:dyDescent="0.25">
      <c r="A3227" s="4">
        <v>41994.889907407407</v>
      </c>
      <c r="B3227" s="2" t="s">
        <v>1858</v>
      </c>
      <c r="C3227" s="2" t="s">
        <v>72</v>
      </c>
      <c r="D3227" s="2" t="str">
        <f>"9780748647552"</f>
        <v>9780748647552</v>
      </c>
      <c r="E3227" s="2">
        <v>767131</v>
      </c>
    </row>
    <row r="3228" spans="1:5" x14ac:dyDescent="0.25">
      <c r="A3228" s="4">
        <v>41848.509791666664</v>
      </c>
      <c r="B3228" s="2" t="s">
        <v>3970</v>
      </c>
      <c r="C3228" s="2" t="s">
        <v>26</v>
      </c>
      <c r="D3228" s="2" t="str">
        <f>"9780470011027"</f>
        <v>9780470011027</v>
      </c>
      <c r="E3228" s="2">
        <v>257674</v>
      </c>
    </row>
    <row r="3229" spans="1:5" x14ac:dyDescent="0.25">
      <c r="A3229" s="4">
        <v>41994.908206018517</v>
      </c>
      <c r="B3229" s="2" t="s">
        <v>288</v>
      </c>
      <c r="C3229" s="2" t="s">
        <v>26</v>
      </c>
      <c r="D3229" s="2" t="str">
        <f>"9781118007815"</f>
        <v>9781118007815</v>
      </c>
      <c r="E3229" s="2">
        <v>661615</v>
      </c>
    </row>
    <row r="3230" spans="1:5" x14ac:dyDescent="0.25">
      <c r="A3230" s="4">
        <v>41994.88994212963</v>
      </c>
      <c r="B3230" s="2" t="s">
        <v>1798</v>
      </c>
      <c r="C3230" s="2" t="s">
        <v>72</v>
      </c>
      <c r="D3230" s="2" t="str">
        <f>"9780748684847"</f>
        <v>9780748684847</v>
      </c>
      <c r="E3230" s="2">
        <v>1767551</v>
      </c>
    </row>
    <row r="3231" spans="1:5" x14ac:dyDescent="0.25">
      <c r="A3231" s="4">
        <v>41994.896134259259</v>
      </c>
      <c r="B3231" s="2" t="s">
        <v>1540</v>
      </c>
      <c r="C3231" s="2" t="s">
        <v>28</v>
      </c>
      <c r="D3231" s="2" t="str">
        <f>"9780253000927"</f>
        <v>9780253000927</v>
      </c>
      <c r="E3231" s="2">
        <v>713667</v>
      </c>
    </row>
    <row r="3232" spans="1:5" x14ac:dyDescent="0.25">
      <c r="A3232" s="4">
        <v>41994.889930555553</v>
      </c>
      <c r="B3232" s="2" t="s">
        <v>1818</v>
      </c>
      <c r="C3232" s="2" t="s">
        <v>72</v>
      </c>
      <c r="D3232" s="2" t="str">
        <f>"9780748629022"</f>
        <v>9780748629022</v>
      </c>
      <c r="E3232" s="2">
        <v>1173641</v>
      </c>
    </row>
    <row r="3233" spans="1:5" x14ac:dyDescent="0.25">
      <c r="A3233" s="4">
        <v>41994.878738425927</v>
      </c>
      <c r="B3233" s="2" t="s">
        <v>2222</v>
      </c>
      <c r="C3233" s="2" t="s">
        <v>2170</v>
      </c>
      <c r="D3233" s="2" t="str">
        <f>"9781848130470"</f>
        <v>9781848130470</v>
      </c>
      <c r="E3233" s="2">
        <v>339195</v>
      </c>
    </row>
    <row r="3234" spans="1:5" x14ac:dyDescent="0.25">
      <c r="A3234" s="4">
        <v>41975.472430555557</v>
      </c>
      <c r="B3234" s="2" t="s">
        <v>2845</v>
      </c>
      <c r="C3234" s="2" t="s">
        <v>119</v>
      </c>
      <c r="D3234" s="2" t="str">
        <f>"9780520943483"</f>
        <v>9780520943483</v>
      </c>
      <c r="E3234" s="2">
        <v>922910</v>
      </c>
    </row>
    <row r="3235" spans="1:5" x14ac:dyDescent="0.25">
      <c r="A3235" s="4">
        <v>41994.908206018517</v>
      </c>
      <c r="B3235" s="2" t="s">
        <v>272</v>
      </c>
      <c r="C3235" s="2" t="s">
        <v>26</v>
      </c>
      <c r="D3235" s="2" t="str">
        <f>"9780470952665"</f>
        <v>9780470952665</v>
      </c>
      <c r="E3235" s="2">
        <v>693286</v>
      </c>
    </row>
    <row r="3236" spans="1:5" x14ac:dyDescent="0.25">
      <c r="A3236" s="4">
        <v>41994.901898148149</v>
      </c>
      <c r="B3236" s="2" t="s">
        <v>1034</v>
      </c>
      <c r="C3236" s="2" t="s">
        <v>119</v>
      </c>
      <c r="D3236" s="2" t="str">
        <f>"9780520924307"</f>
        <v>9780520924307</v>
      </c>
      <c r="E3236" s="2">
        <v>223178</v>
      </c>
    </row>
    <row r="3237" spans="1:5" x14ac:dyDescent="0.25">
      <c r="A3237" s="4">
        <v>41929.142210648148</v>
      </c>
      <c r="B3237" s="2" t="s">
        <v>3181</v>
      </c>
      <c r="C3237" s="2" t="s">
        <v>26</v>
      </c>
      <c r="D3237" s="2" t="str">
        <f>"9780470022672"</f>
        <v>9780470022672</v>
      </c>
      <c r="E3237" s="2">
        <v>232688</v>
      </c>
    </row>
    <row r="3238" spans="1:5" x14ac:dyDescent="0.25">
      <c r="A3238" s="4">
        <v>41994.899131944447</v>
      </c>
      <c r="B3238" s="2" t="s">
        <v>1145</v>
      </c>
      <c r="C3238" s="2" t="s">
        <v>63</v>
      </c>
      <c r="D3238" s="2" t="str">
        <f>"9781400848409"</f>
        <v>9781400848409</v>
      </c>
      <c r="E3238" s="2">
        <v>1316757</v>
      </c>
    </row>
    <row r="3239" spans="1:5" x14ac:dyDescent="0.25">
      <c r="A3239" s="4">
        <v>41994.899131944447</v>
      </c>
      <c r="B3239" s="2" t="s">
        <v>1135</v>
      </c>
      <c r="C3239" s="2" t="s">
        <v>63</v>
      </c>
      <c r="D3239" s="2" t="str">
        <f>"9781400849239"</f>
        <v>9781400849239</v>
      </c>
      <c r="E3239" s="2">
        <v>1388823</v>
      </c>
    </row>
    <row r="3240" spans="1:5" x14ac:dyDescent="0.25">
      <c r="A3240" s="4">
        <v>41908.517731481479</v>
      </c>
      <c r="B3240" s="2" t="s">
        <v>3650</v>
      </c>
      <c r="C3240" s="2" t="s">
        <v>26</v>
      </c>
      <c r="D3240" s="2" t="str">
        <f>"9781118071939"</f>
        <v>9781118071939</v>
      </c>
      <c r="E3240" s="2">
        <v>693258</v>
      </c>
    </row>
    <row r="3241" spans="1:5" x14ac:dyDescent="0.25">
      <c r="A3241" s="4">
        <v>41994.908182870371</v>
      </c>
      <c r="B3241" s="2" t="s">
        <v>356</v>
      </c>
      <c r="C3241" s="2" t="s">
        <v>26</v>
      </c>
      <c r="D3241" s="2" t="str">
        <f>"9781444311082"</f>
        <v>9781444311082</v>
      </c>
      <c r="E3241" s="2">
        <v>428194</v>
      </c>
    </row>
    <row r="3242" spans="1:5" x14ac:dyDescent="0.25">
      <c r="A3242" s="4">
        <v>41994.889930555553</v>
      </c>
      <c r="B3242" s="2" t="s">
        <v>1806</v>
      </c>
      <c r="C3242" s="2" t="s">
        <v>72</v>
      </c>
      <c r="D3242" s="2" t="str">
        <f>"9780748689330"</f>
        <v>9780748689330</v>
      </c>
      <c r="E3242" s="2">
        <v>1698592</v>
      </c>
    </row>
    <row r="3243" spans="1:5" x14ac:dyDescent="0.25">
      <c r="A3243" s="4">
        <v>41994.899062500001</v>
      </c>
      <c r="B3243" s="2" t="s">
        <v>1364</v>
      </c>
      <c r="C3243" s="2" t="s">
        <v>63</v>
      </c>
      <c r="D3243" s="2" t="str">
        <f>"9781400826193"</f>
        <v>9781400826193</v>
      </c>
      <c r="E3243" s="2">
        <v>557136</v>
      </c>
    </row>
    <row r="3244" spans="1:5" x14ac:dyDescent="0.25">
      <c r="A3244" s="4">
        <v>41994.885023148148</v>
      </c>
      <c r="B3244" s="2" t="s">
        <v>2057</v>
      </c>
      <c r="C3244" s="2" t="s">
        <v>74</v>
      </c>
      <c r="D3244" s="2" t="str">
        <f>"9780826441850"</f>
        <v>9780826441850</v>
      </c>
      <c r="E3244" s="2">
        <v>918746</v>
      </c>
    </row>
    <row r="3245" spans="1:5" x14ac:dyDescent="0.25">
      <c r="A3245" s="4">
        <v>41994.901956018519</v>
      </c>
      <c r="B3245" s="2" t="s">
        <v>872</v>
      </c>
      <c r="C3245" s="2" t="s">
        <v>119</v>
      </c>
      <c r="D3245" s="2" t="str">
        <f>"9780520948655"</f>
        <v>9780520948655</v>
      </c>
      <c r="E3245" s="2">
        <v>685410</v>
      </c>
    </row>
    <row r="3246" spans="1:5" x14ac:dyDescent="0.25">
      <c r="A3246" s="4">
        <v>41928.498703703706</v>
      </c>
      <c r="B3246" s="2" t="s">
        <v>3195</v>
      </c>
      <c r="C3246" s="2" t="s">
        <v>18</v>
      </c>
      <c r="D3246" s="2" t="str">
        <f>"9781441197986"</f>
        <v>9781441197986</v>
      </c>
      <c r="E3246" s="2">
        <v>601531</v>
      </c>
    </row>
    <row r="3247" spans="1:5" x14ac:dyDescent="0.25">
      <c r="A3247" s="4">
        <v>41977.609756944446</v>
      </c>
      <c r="B3247" s="2" t="s">
        <v>2601</v>
      </c>
      <c r="C3247" s="2" t="s">
        <v>26</v>
      </c>
      <c r="D3247" s="2" t="str">
        <f>"9781444358391"</f>
        <v>9781444358391</v>
      </c>
      <c r="E3247" s="2">
        <v>819400</v>
      </c>
    </row>
    <row r="3248" spans="1:5" x14ac:dyDescent="0.25">
      <c r="A3248" s="4">
        <v>41911.694502314815</v>
      </c>
      <c r="B3248" s="2" t="s">
        <v>3590</v>
      </c>
      <c r="C3248" s="2" t="s">
        <v>36</v>
      </c>
      <c r="D3248" s="2" t="str">
        <f>"9780786462216"</f>
        <v>9780786462216</v>
      </c>
      <c r="E3248" s="2">
        <v>665215</v>
      </c>
    </row>
    <row r="3249" spans="1:5" x14ac:dyDescent="0.25">
      <c r="A3249" s="4">
        <v>41994.889849537038</v>
      </c>
      <c r="B3249" s="2" t="s">
        <v>1919</v>
      </c>
      <c r="C3249" s="2" t="s">
        <v>72</v>
      </c>
      <c r="D3249" s="2" t="str">
        <f>"9780748632251"</f>
        <v>9780748632251</v>
      </c>
      <c r="E3249" s="2">
        <v>343582</v>
      </c>
    </row>
    <row r="3250" spans="1:5" x14ac:dyDescent="0.25">
      <c r="A3250" s="4">
        <v>41994.896145833336</v>
      </c>
      <c r="B3250" s="2" t="s">
        <v>1513</v>
      </c>
      <c r="C3250" s="2" t="s">
        <v>28</v>
      </c>
      <c r="D3250" s="2" t="str">
        <f>"9780253006967"</f>
        <v>9780253006967</v>
      </c>
      <c r="E3250" s="2">
        <v>816864</v>
      </c>
    </row>
    <row r="3251" spans="1:5" x14ac:dyDescent="0.25">
      <c r="A3251" s="4">
        <v>41994.899108796293</v>
      </c>
      <c r="B3251" s="2" t="s">
        <v>1233</v>
      </c>
      <c r="C3251" s="2" t="s">
        <v>63</v>
      </c>
      <c r="D3251" s="2" t="str">
        <f>"9781400842278"</f>
        <v>9781400842278</v>
      </c>
      <c r="E3251" s="2">
        <v>879137</v>
      </c>
    </row>
    <row r="3252" spans="1:5" x14ac:dyDescent="0.25">
      <c r="A3252" s="4">
        <v>41924.590057870373</v>
      </c>
      <c r="B3252" s="2" t="s">
        <v>3294</v>
      </c>
      <c r="C3252" s="2" t="s">
        <v>26</v>
      </c>
      <c r="D3252" s="2" t="str">
        <f>"9781444304749"</f>
        <v>9781444304749</v>
      </c>
      <c r="E3252" s="2">
        <v>416532</v>
      </c>
    </row>
    <row r="3253" spans="1:5" x14ac:dyDescent="0.25">
      <c r="A3253" s="4">
        <v>41994.899085648147</v>
      </c>
      <c r="B3253" s="2" t="s">
        <v>1277</v>
      </c>
      <c r="C3253" s="2" t="s">
        <v>63</v>
      </c>
      <c r="D3253" s="2" t="str">
        <f>"9781400840540"</f>
        <v>9781400840540</v>
      </c>
      <c r="E3253" s="2">
        <v>744110</v>
      </c>
    </row>
    <row r="3254" spans="1:5" x14ac:dyDescent="0.25">
      <c r="A3254" s="4">
        <v>41906.563599537039</v>
      </c>
      <c r="B3254" s="2" t="s">
        <v>3712</v>
      </c>
      <c r="C3254" s="2" t="s">
        <v>26</v>
      </c>
      <c r="D3254" s="2" t="str">
        <f>"9780470603901"</f>
        <v>9780470603901</v>
      </c>
      <c r="E3254" s="2">
        <v>529961</v>
      </c>
    </row>
    <row r="3255" spans="1:5" x14ac:dyDescent="0.25">
      <c r="A3255" s="4">
        <v>41994.908229166664</v>
      </c>
      <c r="B3255" s="2" t="s">
        <v>231</v>
      </c>
      <c r="C3255" s="2" t="s">
        <v>26</v>
      </c>
      <c r="D3255" s="2" t="str">
        <f>"9781118005217"</f>
        <v>9781118005217</v>
      </c>
      <c r="E3255" s="2">
        <v>699456</v>
      </c>
    </row>
    <row r="3256" spans="1:5" x14ac:dyDescent="0.25">
      <c r="A3256" s="4">
        <v>41994.901967592596</v>
      </c>
      <c r="B3256" s="2" t="s">
        <v>818</v>
      </c>
      <c r="C3256" s="2" t="s">
        <v>119</v>
      </c>
      <c r="D3256" s="2" t="str">
        <f>"9780520943384"</f>
        <v>9780520943384</v>
      </c>
      <c r="E3256" s="2">
        <v>837272</v>
      </c>
    </row>
    <row r="3257" spans="1:5" x14ac:dyDescent="0.25">
      <c r="A3257" s="4">
        <v>41994.884976851848</v>
      </c>
      <c r="B3257" s="2" t="s">
        <v>2157</v>
      </c>
      <c r="C3257" s="2" t="s">
        <v>18</v>
      </c>
      <c r="D3257" s="2" t="str">
        <f>"9781847143341"</f>
        <v>9781847143341</v>
      </c>
      <c r="E3257" s="2">
        <v>436491</v>
      </c>
    </row>
    <row r="3258" spans="1:5" x14ac:dyDescent="0.25">
      <c r="A3258" s="4">
        <v>41905.673217592594</v>
      </c>
      <c r="B3258" s="2" t="s">
        <v>3736</v>
      </c>
      <c r="C3258" s="2" t="s">
        <v>18</v>
      </c>
      <c r="D3258" s="2" t="str">
        <f>"9781441138385"</f>
        <v>9781441138385</v>
      </c>
      <c r="E3258" s="2">
        <v>1177238</v>
      </c>
    </row>
    <row r="3259" spans="1:5" x14ac:dyDescent="0.25">
      <c r="A3259" s="4">
        <v>41994.901921296296</v>
      </c>
      <c r="B3259" s="2" t="s">
        <v>982</v>
      </c>
      <c r="C3259" s="2" t="s">
        <v>119</v>
      </c>
      <c r="D3259" s="2" t="str">
        <f>"9780520937413"</f>
        <v>9780520937413</v>
      </c>
      <c r="E3259" s="2">
        <v>227332</v>
      </c>
    </row>
    <row r="3260" spans="1:5" x14ac:dyDescent="0.25">
      <c r="A3260" s="4">
        <v>41994.901909722219</v>
      </c>
      <c r="B3260" s="2" t="s">
        <v>1029</v>
      </c>
      <c r="C3260" s="2" t="s">
        <v>119</v>
      </c>
      <c r="D3260" s="2" t="str">
        <f>"9780520939769"</f>
        <v>9780520939769</v>
      </c>
      <c r="E3260" s="2">
        <v>223368</v>
      </c>
    </row>
    <row r="3261" spans="1:5" x14ac:dyDescent="0.25">
      <c r="A3261" s="4">
        <v>41994.908182870371</v>
      </c>
      <c r="B3261" s="2" t="s">
        <v>332</v>
      </c>
      <c r="C3261" s="2" t="s">
        <v>26</v>
      </c>
      <c r="D3261" s="2" t="str">
        <f>"9781444320596"</f>
        <v>9781444320596</v>
      </c>
      <c r="E3261" s="2">
        <v>480467</v>
      </c>
    </row>
    <row r="3262" spans="1:5" x14ac:dyDescent="0.25">
      <c r="A3262" s="4">
        <v>41976.645462962966</v>
      </c>
      <c r="B3262" s="2" t="s">
        <v>2656</v>
      </c>
      <c r="C3262" s="2" t="s">
        <v>2170</v>
      </c>
      <c r="D3262" s="2" t="str">
        <f>"9781848134935"</f>
        <v>9781848134935</v>
      </c>
      <c r="E3262" s="2">
        <v>721166</v>
      </c>
    </row>
    <row r="3263" spans="1:5" x14ac:dyDescent="0.25">
      <c r="A3263" s="4">
        <v>41994.902002314811</v>
      </c>
      <c r="B3263" s="2" t="s">
        <v>706</v>
      </c>
      <c r="C3263" s="2" t="s">
        <v>119</v>
      </c>
      <c r="D3263" s="2" t="str">
        <f>"9780520954564"</f>
        <v>9780520954564</v>
      </c>
      <c r="E3263" s="2">
        <v>1215498</v>
      </c>
    </row>
    <row r="3264" spans="1:5" x14ac:dyDescent="0.25">
      <c r="A3264" s="4">
        <v>41974.547905092593</v>
      </c>
      <c r="B3264" s="2" t="s">
        <v>2960</v>
      </c>
      <c r="C3264" s="2" t="s">
        <v>26</v>
      </c>
      <c r="D3264" s="2" t="str">
        <f>"9780470245774"</f>
        <v>9780470245774</v>
      </c>
      <c r="E3264" s="2">
        <v>331492</v>
      </c>
    </row>
    <row r="3265" spans="1:5" x14ac:dyDescent="0.25">
      <c r="A3265" s="4">
        <v>41994.89912037037</v>
      </c>
      <c r="B3265" s="2" t="s">
        <v>1189</v>
      </c>
      <c r="C3265" s="2" t="s">
        <v>63</v>
      </c>
      <c r="D3265" s="2" t="str">
        <f>"9781400847167"</f>
        <v>9781400847167</v>
      </c>
      <c r="E3265" s="2">
        <v>1108131</v>
      </c>
    </row>
    <row r="3266" spans="1:5" x14ac:dyDescent="0.25">
      <c r="A3266" s="4">
        <v>41994.901909722219</v>
      </c>
      <c r="B3266" s="2" t="s">
        <v>1008</v>
      </c>
      <c r="C3266" s="2" t="s">
        <v>119</v>
      </c>
      <c r="D3266" s="2" t="str">
        <f>"9780520924864"</f>
        <v>9780520924864</v>
      </c>
      <c r="E3266" s="2">
        <v>224207</v>
      </c>
    </row>
    <row r="3267" spans="1:5" x14ac:dyDescent="0.25">
      <c r="A3267" s="4">
        <v>41994.901967592596</v>
      </c>
      <c r="B3267" s="2" t="s">
        <v>804</v>
      </c>
      <c r="C3267" s="2" t="s">
        <v>119</v>
      </c>
      <c r="D3267" s="2" t="str">
        <f>"9780520951402"</f>
        <v>9780520951402</v>
      </c>
      <c r="E3267" s="2">
        <v>848953</v>
      </c>
    </row>
    <row r="3268" spans="1:5" x14ac:dyDescent="0.25">
      <c r="A3268" s="4">
        <v>41981.153668981482</v>
      </c>
      <c r="B3268" s="2" t="s">
        <v>2482</v>
      </c>
      <c r="C3268" s="2" t="s">
        <v>119</v>
      </c>
      <c r="D3268" s="2" t="str">
        <f>"9780520959491"</f>
        <v>9780520959491</v>
      </c>
      <c r="E3268" s="2">
        <v>1711055</v>
      </c>
    </row>
    <row r="3269" spans="1:5" x14ac:dyDescent="0.25">
      <c r="A3269" s="4">
        <v>41994.905613425923</v>
      </c>
      <c r="B3269" s="2" t="s">
        <v>496</v>
      </c>
      <c r="C3269" s="2" t="s">
        <v>424</v>
      </c>
      <c r="D3269" s="2" t="str">
        <f>"9780807838129"</f>
        <v>9780807838129</v>
      </c>
      <c r="E3269" s="2">
        <v>1014765</v>
      </c>
    </row>
    <row r="3270" spans="1:5" x14ac:dyDescent="0.25">
      <c r="A3270" s="4">
        <v>41844.352210648147</v>
      </c>
      <c r="B3270" s="2" t="s">
        <v>3971</v>
      </c>
      <c r="C3270" s="2" t="s">
        <v>26</v>
      </c>
      <c r="D3270" s="2" t="str">
        <f>"9780787962807"</f>
        <v>9780787962807</v>
      </c>
      <c r="E3270" s="2">
        <v>292516</v>
      </c>
    </row>
    <row r="3271" spans="1:5" x14ac:dyDescent="0.25">
      <c r="A3271" s="4">
        <v>41994.908171296294</v>
      </c>
      <c r="B3271" s="2" t="s">
        <v>385</v>
      </c>
      <c r="C3271" s="2" t="s">
        <v>26</v>
      </c>
      <c r="D3271" s="2" t="str">
        <f>"9780470511367"</f>
        <v>9780470511367</v>
      </c>
      <c r="E3271" s="2">
        <v>292587</v>
      </c>
    </row>
    <row r="3272" spans="1:5" x14ac:dyDescent="0.25">
      <c r="A3272" s="4">
        <v>41985.693333333336</v>
      </c>
      <c r="B3272" s="2" t="s">
        <v>2329</v>
      </c>
      <c r="C3272" s="2" t="s">
        <v>26</v>
      </c>
      <c r="D3272" s="2" t="str">
        <f>"9780470260784"</f>
        <v>9780470260784</v>
      </c>
      <c r="E3272" s="2">
        <v>469161</v>
      </c>
    </row>
    <row r="3273" spans="1:5" x14ac:dyDescent="0.25">
      <c r="A3273" s="4">
        <v>41994.908217592594</v>
      </c>
      <c r="B3273" s="2" t="s">
        <v>239</v>
      </c>
      <c r="C3273" s="2" t="s">
        <v>205</v>
      </c>
      <c r="D3273" s="2" t="str">
        <f>"9781118124314"</f>
        <v>9781118124314</v>
      </c>
      <c r="E3273" s="2">
        <v>697970</v>
      </c>
    </row>
    <row r="3274" spans="1:5" x14ac:dyDescent="0.25">
      <c r="A3274" s="4">
        <v>41884.570277777777</v>
      </c>
      <c r="B3274" s="2" t="s">
        <v>3910</v>
      </c>
      <c r="C3274" s="2" t="s">
        <v>26</v>
      </c>
      <c r="D3274" s="2" t="str">
        <f>"9780471647775"</f>
        <v>9780471647775</v>
      </c>
      <c r="E3274" s="2">
        <v>175987</v>
      </c>
    </row>
    <row r="3275" spans="1:5" x14ac:dyDescent="0.25">
      <c r="A3275" s="4">
        <v>41994.908229166664</v>
      </c>
      <c r="B3275" s="2" t="s">
        <v>229</v>
      </c>
      <c r="C3275" s="2" t="s">
        <v>26</v>
      </c>
      <c r="D3275" s="2" t="str">
        <f>"9780470949221"</f>
        <v>9780470949221</v>
      </c>
      <c r="E3275" s="2">
        <v>699477</v>
      </c>
    </row>
    <row r="3276" spans="1:5" x14ac:dyDescent="0.25">
      <c r="A3276" s="4">
        <v>41994.899108796293</v>
      </c>
      <c r="B3276" s="2" t="s">
        <v>1238</v>
      </c>
      <c r="C3276" s="2" t="s">
        <v>63</v>
      </c>
      <c r="D3276" s="2" t="str">
        <f>"9781400841936"</f>
        <v>9781400841936</v>
      </c>
      <c r="E3276" s="2">
        <v>867851</v>
      </c>
    </row>
    <row r="3277" spans="1:5" x14ac:dyDescent="0.25">
      <c r="A3277" s="4">
        <v>43172.584745370368</v>
      </c>
      <c r="B3277" s="2" t="s">
        <v>79</v>
      </c>
      <c r="C3277" s="2" t="s">
        <v>36</v>
      </c>
      <c r="D3277" s="2" t="str">
        <f>"9781476608556"</f>
        <v>9781476608556</v>
      </c>
      <c r="E3277" s="2">
        <v>2048505</v>
      </c>
    </row>
    <row r="3278" spans="1:5" x14ac:dyDescent="0.25">
      <c r="A3278" s="4">
        <v>41994.902002314811</v>
      </c>
      <c r="B3278" s="2" t="s">
        <v>708</v>
      </c>
      <c r="C3278" s="2" t="s">
        <v>119</v>
      </c>
      <c r="D3278" s="2" t="str">
        <f>"9780520954519"</f>
        <v>9780520954519</v>
      </c>
      <c r="E3278" s="2">
        <v>1187672</v>
      </c>
    </row>
    <row r="3279" spans="1:5" x14ac:dyDescent="0.25">
      <c r="A3279" s="4">
        <v>41994.901909722219</v>
      </c>
      <c r="B3279" s="2" t="s">
        <v>1007</v>
      </c>
      <c r="C3279" s="2" t="s">
        <v>119</v>
      </c>
      <c r="D3279" s="2" t="str">
        <f>"9780520936911"</f>
        <v>9780520936911</v>
      </c>
      <c r="E3279" s="2">
        <v>224209</v>
      </c>
    </row>
    <row r="3280" spans="1:5" x14ac:dyDescent="0.25">
      <c r="A3280" s="4">
        <v>41994.901909722219</v>
      </c>
      <c r="B3280" s="2" t="s">
        <v>1022</v>
      </c>
      <c r="C3280" s="2" t="s">
        <v>119</v>
      </c>
      <c r="D3280" s="2" t="str">
        <f>"9780520928619"</f>
        <v>9780520928619</v>
      </c>
      <c r="E3280" s="2">
        <v>223658</v>
      </c>
    </row>
    <row r="3281" spans="1:5" x14ac:dyDescent="0.25">
      <c r="A3281" s="4">
        <v>41994.899155092593</v>
      </c>
      <c r="B3281" s="2" t="s">
        <v>1073</v>
      </c>
      <c r="C3281" s="2" t="s">
        <v>63</v>
      </c>
      <c r="D3281" s="2" t="str">
        <f>"9781400851638"</f>
        <v>9781400851638</v>
      </c>
      <c r="E3281" s="2">
        <v>1651877</v>
      </c>
    </row>
    <row r="3282" spans="1:5" x14ac:dyDescent="0.25">
      <c r="A3282" s="4">
        <v>41994.884988425925</v>
      </c>
      <c r="B3282" s="2" t="s">
        <v>2119</v>
      </c>
      <c r="C3282" s="2" t="s">
        <v>18</v>
      </c>
      <c r="D3282" s="2" t="str">
        <f>"9781441152671"</f>
        <v>9781441152671</v>
      </c>
      <c r="E3282" s="2">
        <v>601941</v>
      </c>
    </row>
    <row r="3283" spans="1:5" x14ac:dyDescent="0.25">
      <c r="A3283" s="4">
        <v>41994.899097222224</v>
      </c>
      <c r="B3283" s="2" t="s">
        <v>1269</v>
      </c>
      <c r="C3283" s="2" t="s">
        <v>63</v>
      </c>
      <c r="D3283" s="2" t="str">
        <f>"9781400839971"</f>
        <v>9781400839971</v>
      </c>
      <c r="E3283" s="2">
        <v>781786</v>
      </c>
    </row>
    <row r="3284" spans="1:5" x14ac:dyDescent="0.25">
      <c r="A3284" s="4">
        <v>41994.901932870373</v>
      </c>
      <c r="B3284" s="2" t="s">
        <v>936</v>
      </c>
      <c r="C3284" s="2" t="s">
        <v>119</v>
      </c>
      <c r="D3284" s="2" t="str">
        <f>"9780520932876"</f>
        <v>9780520932876</v>
      </c>
      <c r="E3284" s="2">
        <v>470989</v>
      </c>
    </row>
    <row r="3285" spans="1:5" x14ac:dyDescent="0.25">
      <c r="A3285" s="4">
        <v>41982.281238425923</v>
      </c>
      <c r="B3285" s="2" t="s">
        <v>2455</v>
      </c>
      <c r="C3285" s="2" t="s">
        <v>26</v>
      </c>
      <c r="D3285" s="2" t="str">
        <f>"9781118166833"</f>
        <v>9781118166833</v>
      </c>
      <c r="E3285" s="2">
        <v>817417</v>
      </c>
    </row>
    <row r="3286" spans="1:5" x14ac:dyDescent="0.25">
      <c r="A3286" s="4">
        <v>41976.688194444447</v>
      </c>
      <c r="B3286" s="2" t="s">
        <v>2647</v>
      </c>
      <c r="C3286" s="2" t="s">
        <v>63</v>
      </c>
      <c r="D3286" s="2" t="str">
        <f>"9781400824960"</f>
        <v>9781400824960</v>
      </c>
      <c r="E3286" s="2">
        <v>457844</v>
      </c>
    </row>
    <row r="3287" spans="1:5" x14ac:dyDescent="0.25">
      <c r="A3287" s="4">
        <v>41994.896180555559</v>
      </c>
      <c r="B3287" s="2" t="s">
        <v>1439</v>
      </c>
      <c r="C3287" s="2" t="s">
        <v>28</v>
      </c>
      <c r="D3287" s="2" t="str">
        <f>"9780253013934"</f>
        <v>9780253013934</v>
      </c>
      <c r="E3287" s="2">
        <v>1782266</v>
      </c>
    </row>
    <row r="3288" spans="1:5" x14ac:dyDescent="0.25">
      <c r="A3288" s="4">
        <v>41931.73364583333</v>
      </c>
      <c r="B3288" s="2" t="s">
        <v>3137</v>
      </c>
      <c r="C3288" s="2" t="s">
        <v>26</v>
      </c>
      <c r="D3288" s="2" t="str">
        <f>"9781405151979"</f>
        <v>9781405151979</v>
      </c>
      <c r="E3288" s="2">
        <v>243555</v>
      </c>
    </row>
    <row r="3289" spans="1:5" x14ac:dyDescent="0.25">
      <c r="A3289" s="4">
        <v>41989.338726851849</v>
      </c>
      <c r="B3289" s="2" t="s">
        <v>2266</v>
      </c>
      <c r="C3289" s="2" t="s">
        <v>26</v>
      </c>
      <c r="D3289" s="2" t="str">
        <f>"9780470730621"</f>
        <v>9780470730621</v>
      </c>
      <c r="E3289" s="2">
        <v>533932</v>
      </c>
    </row>
    <row r="3290" spans="1:5" x14ac:dyDescent="0.25">
      <c r="A3290" s="4">
        <v>41902.71361111111</v>
      </c>
      <c r="B3290" s="2" t="s">
        <v>3802</v>
      </c>
      <c r="C3290" s="2" t="s">
        <v>26</v>
      </c>
      <c r="D3290" s="2" t="str">
        <f>"9781118063798"</f>
        <v>9781118063798</v>
      </c>
      <c r="E3290" s="2">
        <v>675214</v>
      </c>
    </row>
    <row r="3291" spans="1:5" x14ac:dyDescent="0.25">
      <c r="A3291" s="4">
        <v>41994.89912037037</v>
      </c>
      <c r="B3291" s="2" t="s">
        <v>1161</v>
      </c>
      <c r="C3291" s="2" t="s">
        <v>63</v>
      </c>
      <c r="D3291" s="2" t="str">
        <f>"9781400848003"</f>
        <v>9781400848003</v>
      </c>
      <c r="E3291" s="2">
        <v>1187508</v>
      </c>
    </row>
    <row r="3292" spans="1:5" x14ac:dyDescent="0.25">
      <c r="A3292" s="4">
        <v>41982.434756944444</v>
      </c>
      <c r="B3292" s="2" t="s">
        <v>2442</v>
      </c>
      <c r="C3292" s="2" t="s">
        <v>119</v>
      </c>
      <c r="D3292" s="2" t="str">
        <f>"9780520926455"</f>
        <v>9780520926455</v>
      </c>
      <c r="E3292" s="2">
        <v>893088</v>
      </c>
    </row>
    <row r="3293" spans="1:5" x14ac:dyDescent="0.25">
      <c r="A3293" s="4">
        <v>41994.901956018519</v>
      </c>
      <c r="B3293" s="2" t="s">
        <v>861</v>
      </c>
      <c r="C3293" s="2" t="s">
        <v>119</v>
      </c>
      <c r="D3293" s="2" t="str">
        <f>"9780520950344"</f>
        <v>9780520950344</v>
      </c>
      <c r="E3293" s="2">
        <v>718660</v>
      </c>
    </row>
    <row r="3294" spans="1:5" x14ac:dyDescent="0.25">
      <c r="A3294" s="4">
        <v>41994.901956018519</v>
      </c>
      <c r="B3294" s="2" t="s">
        <v>871</v>
      </c>
      <c r="C3294" s="2" t="s">
        <v>119</v>
      </c>
      <c r="D3294" s="2" t="str">
        <f>"9780520948761"</f>
        <v>9780520948761</v>
      </c>
      <c r="E3294" s="2">
        <v>685412</v>
      </c>
    </row>
    <row r="3295" spans="1:5" x14ac:dyDescent="0.25">
      <c r="A3295" s="4">
        <v>41994.901967592596</v>
      </c>
      <c r="B3295" s="2" t="s">
        <v>834</v>
      </c>
      <c r="C3295" s="2" t="s">
        <v>119</v>
      </c>
      <c r="D3295" s="2" t="str">
        <f>"9780520952331"</f>
        <v>9780520952331</v>
      </c>
      <c r="E3295" s="2">
        <v>816157</v>
      </c>
    </row>
    <row r="3296" spans="1:5" x14ac:dyDescent="0.25">
      <c r="A3296" s="4">
        <v>41905.37054398148</v>
      </c>
      <c r="B3296" s="2" t="s">
        <v>3751</v>
      </c>
      <c r="C3296" s="2" t="s">
        <v>63</v>
      </c>
      <c r="D3296" s="2" t="str">
        <f>"9781400831708"</f>
        <v>9781400831708</v>
      </c>
      <c r="E3296" s="2">
        <v>483584</v>
      </c>
    </row>
    <row r="3297" spans="1:5" x14ac:dyDescent="0.25">
      <c r="A3297" s="4">
        <v>41976.645960648151</v>
      </c>
      <c r="B3297" s="2" t="s">
        <v>2655</v>
      </c>
      <c r="C3297" s="2" t="s">
        <v>63</v>
      </c>
      <c r="D3297" s="2" t="str">
        <f>"9781400829439"</f>
        <v>9781400829439</v>
      </c>
      <c r="E3297" s="2">
        <v>797494</v>
      </c>
    </row>
    <row r="3298" spans="1:5" x14ac:dyDescent="0.25">
      <c r="A3298" s="4">
        <v>41994.905601851853</v>
      </c>
      <c r="B3298" s="2" t="s">
        <v>518</v>
      </c>
      <c r="C3298" s="2" t="s">
        <v>96</v>
      </c>
      <c r="D3298" s="2" t="str">
        <f>"9780807898956"</f>
        <v>9780807898956</v>
      </c>
      <c r="E3298" s="2">
        <v>880235</v>
      </c>
    </row>
    <row r="3299" spans="1:5" x14ac:dyDescent="0.25">
      <c r="A3299" s="4">
        <v>41994.896122685182</v>
      </c>
      <c r="B3299" s="2" t="s">
        <v>1551</v>
      </c>
      <c r="C3299" s="2" t="s">
        <v>28</v>
      </c>
      <c r="D3299" s="2" t="str">
        <f>"9780253005557"</f>
        <v>9780253005557</v>
      </c>
      <c r="E3299" s="2">
        <v>670310</v>
      </c>
    </row>
    <row r="3300" spans="1:5" x14ac:dyDescent="0.25">
      <c r="A3300" s="4">
        <v>41994.908182870371</v>
      </c>
      <c r="B3300" s="2" t="s">
        <v>357</v>
      </c>
      <c r="C3300" s="2" t="s">
        <v>26</v>
      </c>
      <c r="D3300" s="2" t="str">
        <f>"9780470744727"</f>
        <v>9780470744727</v>
      </c>
      <c r="E3300" s="2">
        <v>427964</v>
      </c>
    </row>
    <row r="3301" spans="1:5" x14ac:dyDescent="0.25">
      <c r="A3301" s="4">
        <v>41988.44189814815</v>
      </c>
      <c r="B3301" s="2" t="s">
        <v>2297</v>
      </c>
      <c r="C3301" s="2" t="s">
        <v>26</v>
      </c>
      <c r="D3301" s="2" t="str">
        <f>"9780471272823"</f>
        <v>9780471272823</v>
      </c>
      <c r="E3301" s="2">
        <v>139928</v>
      </c>
    </row>
    <row r="3302" spans="1:5" x14ac:dyDescent="0.25">
      <c r="A3302" s="4">
        <v>41994.878738425927</v>
      </c>
      <c r="B3302" s="2" t="s">
        <v>2221</v>
      </c>
      <c r="C3302" s="2" t="s">
        <v>2170</v>
      </c>
      <c r="D3302" s="2" t="str">
        <f>"9781848131415"</f>
        <v>9781848131415</v>
      </c>
      <c r="E3302" s="2">
        <v>339196</v>
      </c>
    </row>
    <row r="3303" spans="1:5" x14ac:dyDescent="0.25">
      <c r="A3303" s="4">
        <v>41994.899074074077</v>
      </c>
      <c r="B3303" s="2" t="s">
        <v>1331</v>
      </c>
      <c r="C3303" s="2" t="s">
        <v>63</v>
      </c>
      <c r="D3303" s="2" t="str">
        <f>"9781400836512"</f>
        <v>9781400836512</v>
      </c>
      <c r="E3303" s="2">
        <v>662357</v>
      </c>
    </row>
    <row r="3304" spans="1:5" x14ac:dyDescent="0.25">
      <c r="A3304" s="4">
        <v>41994.901956018519</v>
      </c>
      <c r="B3304" s="2" t="s">
        <v>865</v>
      </c>
      <c r="C3304" s="2" t="s">
        <v>119</v>
      </c>
      <c r="D3304" s="2" t="str">
        <f>"9780520949997"</f>
        <v>9780520949997</v>
      </c>
      <c r="E3304" s="2">
        <v>718654</v>
      </c>
    </row>
    <row r="3305" spans="1:5" x14ac:dyDescent="0.25">
      <c r="A3305" s="4">
        <v>41994.902002314811</v>
      </c>
      <c r="B3305" s="2" t="s">
        <v>695</v>
      </c>
      <c r="C3305" s="2" t="s">
        <v>119</v>
      </c>
      <c r="D3305" s="2" t="str">
        <f>"9780520956575"</f>
        <v>9780520956575</v>
      </c>
      <c r="E3305" s="2">
        <v>1335333</v>
      </c>
    </row>
    <row r="3306" spans="1:5" x14ac:dyDescent="0.25">
      <c r="A3306" s="4">
        <v>41994.889872685184</v>
      </c>
      <c r="B3306" s="2" t="s">
        <v>1892</v>
      </c>
      <c r="C3306" s="2" t="s">
        <v>72</v>
      </c>
      <c r="D3306" s="2" t="str">
        <f>"9780748642892"</f>
        <v>9780748642892</v>
      </c>
      <c r="E3306" s="2">
        <v>581378</v>
      </c>
    </row>
    <row r="3307" spans="1:5" x14ac:dyDescent="0.25">
      <c r="A3307" s="4">
        <v>41932.459050925929</v>
      </c>
      <c r="B3307" s="2" t="s">
        <v>3123</v>
      </c>
      <c r="C3307" s="2" t="s">
        <v>119</v>
      </c>
      <c r="D3307" s="2" t="str">
        <f>"9780520908291"</f>
        <v>9780520908291</v>
      </c>
      <c r="E3307" s="2">
        <v>223204</v>
      </c>
    </row>
    <row r="3308" spans="1:5" x14ac:dyDescent="0.25">
      <c r="A3308" s="4">
        <v>41922.499328703707</v>
      </c>
      <c r="B3308" s="2" t="s">
        <v>3319</v>
      </c>
      <c r="C3308" s="2" t="s">
        <v>63</v>
      </c>
      <c r="D3308" s="2" t="str">
        <f>"9781400851164"</f>
        <v>9781400851164</v>
      </c>
      <c r="E3308" s="2">
        <v>1602019</v>
      </c>
    </row>
    <row r="3309" spans="1:5" x14ac:dyDescent="0.25">
      <c r="A3309" s="4">
        <v>41907.591284722221</v>
      </c>
      <c r="B3309" s="2" t="s">
        <v>3675</v>
      </c>
      <c r="C3309" s="2" t="s">
        <v>63</v>
      </c>
      <c r="D3309" s="2" t="str">
        <f>"9781400842056"</f>
        <v>9781400842056</v>
      </c>
      <c r="E3309" s="2">
        <v>871891</v>
      </c>
    </row>
    <row r="3310" spans="1:5" x14ac:dyDescent="0.25">
      <c r="A3310" s="4">
        <v>41994.908217592594</v>
      </c>
      <c r="B3310" s="2" t="s">
        <v>236</v>
      </c>
      <c r="C3310" s="2" t="s">
        <v>26</v>
      </c>
      <c r="D3310" s="2" t="str">
        <f>"9781444346503"</f>
        <v>9781444346503</v>
      </c>
      <c r="E3310" s="2">
        <v>698150</v>
      </c>
    </row>
    <row r="3311" spans="1:5" x14ac:dyDescent="0.25">
      <c r="A3311" s="4">
        <v>41913.654293981483</v>
      </c>
      <c r="B3311" s="2" t="s">
        <v>3535</v>
      </c>
      <c r="C3311" s="2" t="s">
        <v>26</v>
      </c>
      <c r="D3311" s="2" t="str">
        <f>"9781118013137"</f>
        <v>9781118013137</v>
      </c>
      <c r="E3311" s="2">
        <v>699485</v>
      </c>
    </row>
    <row r="3312" spans="1:5" x14ac:dyDescent="0.25">
      <c r="A3312" s="4">
        <v>41935.626932870371</v>
      </c>
      <c r="B3312" s="2" t="s">
        <v>3018</v>
      </c>
      <c r="C3312" s="2" t="s">
        <v>119</v>
      </c>
      <c r="D3312" s="2" t="str">
        <f>"9780520952454"</f>
        <v>9780520952454</v>
      </c>
      <c r="E3312" s="2">
        <v>867679</v>
      </c>
    </row>
    <row r="3313" spans="1:5" x14ac:dyDescent="0.25">
      <c r="A3313" s="4">
        <v>41914.386782407404</v>
      </c>
      <c r="B3313" s="2" t="s">
        <v>3018</v>
      </c>
      <c r="C3313" s="2" t="s">
        <v>119</v>
      </c>
      <c r="D3313" s="2" t="str">
        <f>"9780520948693"</f>
        <v>9780520948693</v>
      </c>
      <c r="E3313" s="2">
        <v>656365</v>
      </c>
    </row>
    <row r="3314" spans="1:5" x14ac:dyDescent="0.25">
      <c r="A3314" s="4">
        <v>41994.889861111114</v>
      </c>
      <c r="B3314" s="2" t="s">
        <v>1902</v>
      </c>
      <c r="C3314" s="2" t="s">
        <v>72</v>
      </c>
      <c r="D3314" s="2" t="str">
        <f>"9780748642243"</f>
        <v>9780748642243</v>
      </c>
      <c r="E3314" s="2">
        <v>537008</v>
      </c>
    </row>
    <row r="3315" spans="1:5" x14ac:dyDescent="0.25">
      <c r="A3315" s="4">
        <v>41915.753252314818</v>
      </c>
      <c r="B3315" s="2" t="s">
        <v>3489</v>
      </c>
      <c r="C3315" s="2" t="s">
        <v>26</v>
      </c>
      <c r="D3315" s="2" t="str">
        <f>"9780470623541"</f>
        <v>9780470623541</v>
      </c>
      <c r="E3315" s="2">
        <v>477816</v>
      </c>
    </row>
    <row r="3316" spans="1:5" x14ac:dyDescent="0.25">
      <c r="A3316" s="4">
        <v>41918.520671296297</v>
      </c>
      <c r="B3316" s="2" t="s">
        <v>3433</v>
      </c>
      <c r="C3316" s="2" t="s">
        <v>119</v>
      </c>
      <c r="D3316" s="2" t="str">
        <f>"9780520938694"</f>
        <v>9780520938694</v>
      </c>
      <c r="E3316" s="2">
        <v>291352</v>
      </c>
    </row>
    <row r="3317" spans="1:5" x14ac:dyDescent="0.25">
      <c r="A3317" s="4">
        <v>41932.602951388886</v>
      </c>
      <c r="B3317" s="2" t="s">
        <v>3116</v>
      </c>
      <c r="C3317" s="2" t="s">
        <v>26</v>
      </c>
      <c r="D3317" s="2" t="str">
        <f>"9780470483084"</f>
        <v>9780470483084</v>
      </c>
      <c r="E3317" s="2">
        <v>433730</v>
      </c>
    </row>
    <row r="3318" spans="1:5" x14ac:dyDescent="0.25">
      <c r="A3318" s="4">
        <v>41994.899108796293</v>
      </c>
      <c r="B3318" s="2" t="s">
        <v>1221</v>
      </c>
      <c r="C3318" s="2" t="s">
        <v>63</v>
      </c>
      <c r="D3318" s="2" t="str">
        <f>"9781400842001"</f>
        <v>9781400842001</v>
      </c>
      <c r="E3318" s="2">
        <v>913845</v>
      </c>
    </row>
    <row r="3319" spans="1:5" x14ac:dyDescent="0.25">
      <c r="A3319" s="4">
        <v>41924.520335648151</v>
      </c>
      <c r="B3319" s="2" t="s">
        <v>3297</v>
      </c>
      <c r="C3319" s="2" t="s">
        <v>63</v>
      </c>
      <c r="D3319" s="2" t="str">
        <f>"9781400823499"</f>
        <v>9781400823499</v>
      </c>
      <c r="E3319" s="2">
        <v>581640</v>
      </c>
    </row>
    <row r="3320" spans="1:5" x14ac:dyDescent="0.25">
      <c r="A3320" s="4">
        <v>41977.816469907404</v>
      </c>
      <c r="B3320" s="2" t="s">
        <v>2589</v>
      </c>
      <c r="C3320" s="2" t="s">
        <v>63</v>
      </c>
      <c r="D3320" s="2" t="str">
        <f>"9781400847969"</f>
        <v>9781400847969</v>
      </c>
      <c r="E3320" s="2">
        <v>1223116</v>
      </c>
    </row>
    <row r="3321" spans="1:5" x14ac:dyDescent="0.25">
      <c r="A3321" s="4">
        <v>41994.901979166665</v>
      </c>
      <c r="B3321" s="2" t="s">
        <v>795</v>
      </c>
      <c r="C3321" s="2" t="s">
        <v>119</v>
      </c>
      <c r="D3321" s="2" t="str">
        <f>"9780520951877"</f>
        <v>9780520951877</v>
      </c>
      <c r="E3321" s="2">
        <v>867684</v>
      </c>
    </row>
    <row r="3322" spans="1:5" x14ac:dyDescent="0.25">
      <c r="A3322" s="4">
        <v>41994.901944444442</v>
      </c>
      <c r="B3322" s="2" t="s">
        <v>899</v>
      </c>
      <c r="C3322" s="2" t="s">
        <v>119</v>
      </c>
      <c r="D3322" s="2" t="str">
        <f>"9780520948020"</f>
        <v>9780520948020</v>
      </c>
      <c r="E3322" s="2">
        <v>613133</v>
      </c>
    </row>
    <row r="3323" spans="1:5" x14ac:dyDescent="0.25">
      <c r="A3323" s="4">
        <v>41994.885034722225</v>
      </c>
      <c r="B3323" s="2" t="s">
        <v>2016</v>
      </c>
      <c r="C3323" s="2" t="s">
        <v>18</v>
      </c>
      <c r="D3323" s="2" t="str">
        <f>"9781441145499"</f>
        <v>9781441145499</v>
      </c>
      <c r="E3323" s="2">
        <v>1220341</v>
      </c>
    </row>
    <row r="3324" spans="1:5" x14ac:dyDescent="0.25">
      <c r="A3324" s="4">
        <v>41994.901990740742</v>
      </c>
      <c r="B3324" s="2" t="s">
        <v>746</v>
      </c>
      <c r="C3324" s="2" t="s">
        <v>119</v>
      </c>
      <c r="D3324" s="2" t="str">
        <f>"9780520953444"</f>
        <v>9780520953444</v>
      </c>
      <c r="E3324" s="2">
        <v>1013613</v>
      </c>
    </row>
    <row r="3325" spans="1:5" x14ac:dyDescent="0.25">
      <c r="A3325" s="4">
        <v>41923.435069444444</v>
      </c>
      <c r="B3325" s="2" t="s">
        <v>3310</v>
      </c>
      <c r="C3325" s="2" t="s">
        <v>36</v>
      </c>
      <c r="D3325" s="2" t="str">
        <f>"9780786485406"</f>
        <v>9780786485406</v>
      </c>
      <c r="E3325" s="2">
        <v>687003</v>
      </c>
    </row>
    <row r="3326" spans="1:5" x14ac:dyDescent="0.25">
      <c r="A3326" s="4">
        <v>41994.908206018517</v>
      </c>
      <c r="B3326" s="2" t="s">
        <v>289</v>
      </c>
      <c r="C3326" s="2" t="s">
        <v>26</v>
      </c>
      <c r="D3326" s="2" t="str">
        <f>"9781118000915"</f>
        <v>9781118000915</v>
      </c>
      <c r="E3326" s="2">
        <v>661610</v>
      </c>
    </row>
    <row r="3327" spans="1:5" x14ac:dyDescent="0.25">
      <c r="A3327" s="4">
        <v>41908.230023148149</v>
      </c>
      <c r="B3327" s="2" t="s">
        <v>3662</v>
      </c>
      <c r="C3327" s="2" t="s">
        <v>7</v>
      </c>
      <c r="D3327" s="2" t="str">
        <f>"9781452213187"</f>
        <v>9781452213187</v>
      </c>
      <c r="E3327" s="2">
        <v>996707</v>
      </c>
    </row>
    <row r="3328" spans="1:5" x14ac:dyDescent="0.25">
      <c r="A3328" s="4">
        <v>41994.899062500001</v>
      </c>
      <c r="B3328" s="2" t="s">
        <v>1366</v>
      </c>
      <c r="C3328" s="2" t="s">
        <v>63</v>
      </c>
      <c r="D3328" s="2" t="str">
        <f>"9781400835584"</f>
        <v>9781400835584</v>
      </c>
      <c r="E3328" s="2">
        <v>548759</v>
      </c>
    </row>
    <row r="3329" spans="1:5" x14ac:dyDescent="0.25">
      <c r="A3329" s="4">
        <v>41994.908206018517</v>
      </c>
      <c r="B3329" s="2" t="s">
        <v>282</v>
      </c>
      <c r="C3329" s="2" t="s">
        <v>26</v>
      </c>
      <c r="D3329" s="2" t="str">
        <f>"9781444393422"</f>
        <v>9781444393422</v>
      </c>
      <c r="E3329" s="2">
        <v>661774</v>
      </c>
    </row>
    <row r="3330" spans="1:5" x14ac:dyDescent="0.25">
      <c r="A3330" s="4">
        <v>41893.616956018515</v>
      </c>
      <c r="B3330" s="2" t="s">
        <v>3881</v>
      </c>
      <c r="C3330" s="2" t="s">
        <v>26</v>
      </c>
      <c r="D3330" s="2" t="str">
        <f>"9781118033364"</f>
        <v>9781118033364</v>
      </c>
      <c r="E3330" s="2">
        <v>697562</v>
      </c>
    </row>
    <row r="3331" spans="1:5" x14ac:dyDescent="0.25">
      <c r="A3331" s="4">
        <v>41912.483344907407</v>
      </c>
      <c r="B3331" s="2" t="s">
        <v>3567</v>
      </c>
      <c r="C3331" s="2" t="s">
        <v>26</v>
      </c>
      <c r="D3331" s="2" t="str">
        <f>"9780470634332"</f>
        <v>9780470634332</v>
      </c>
      <c r="E3331" s="2">
        <v>698757</v>
      </c>
    </row>
    <row r="3332" spans="1:5" x14ac:dyDescent="0.25">
      <c r="A3332" s="4">
        <v>41978.733136574076</v>
      </c>
      <c r="B3332" s="2" t="s">
        <v>2556</v>
      </c>
      <c r="C3332" s="2" t="s">
        <v>63</v>
      </c>
      <c r="D3332" s="2" t="str">
        <f>"9781400845354"</f>
        <v>9781400845354</v>
      </c>
      <c r="E3332" s="2">
        <v>1042910</v>
      </c>
    </row>
    <row r="3333" spans="1:5" x14ac:dyDescent="0.25">
      <c r="A3333" s="4">
        <v>41906.877268518518</v>
      </c>
      <c r="B3333" s="2" t="s">
        <v>3700</v>
      </c>
      <c r="C3333" s="2" t="s">
        <v>26</v>
      </c>
      <c r="D3333" s="2" t="str">
        <f>"9780470756713"</f>
        <v>9780470756713</v>
      </c>
      <c r="E3333" s="2">
        <v>214144</v>
      </c>
    </row>
    <row r="3334" spans="1:5" x14ac:dyDescent="0.25">
      <c r="A3334" s="4">
        <v>41933.326157407406</v>
      </c>
      <c r="B3334" s="2" t="s">
        <v>3101</v>
      </c>
      <c r="C3334" s="2" t="s">
        <v>26</v>
      </c>
      <c r="D3334" s="2" t="str">
        <f>"9780470949184"</f>
        <v>9780470949184</v>
      </c>
      <c r="E3334" s="2">
        <v>706571</v>
      </c>
    </row>
    <row r="3335" spans="1:5" x14ac:dyDescent="0.25">
      <c r="A3335" s="4">
        <v>41899.767500000002</v>
      </c>
      <c r="B3335" s="2" t="s">
        <v>3851</v>
      </c>
      <c r="C3335" s="2" t="s">
        <v>26</v>
      </c>
      <c r="D3335" s="2" t="str">
        <f>"9781405151887"</f>
        <v>9781405151887</v>
      </c>
      <c r="E3335" s="2">
        <v>243543</v>
      </c>
    </row>
    <row r="3336" spans="1:5" x14ac:dyDescent="0.25">
      <c r="A3336" s="4">
        <v>41854.57408564815</v>
      </c>
      <c r="B3336" s="2" t="s">
        <v>3967</v>
      </c>
      <c r="C3336" s="2" t="s">
        <v>26</v>
      </c>
      <c r="D3336" s="2" t="str">
        <f>"9780470613566"</f>
        <v>9780470613566</v>
      </c>
      <c r="E3336" s="2">
        <v>469103</v>
      </c>
    </row>
    <row r="3337" spans="1:5" x14ac:dyDescent="0.25">
      <c r="A3337" s="4">
        <v>41988.843958333331</v>
      </c>
      <c r="B3337" s="2" t="s">
        <v>2271</v>
      </c>
      <c r="C3337" s="2" t="s">
        <v>7</v>
      </c>
      <c r="D3337" s="2" t="str">
        <f>"9781446205372"</f>
        <v>9781446205372</v>
      </c>
      <c r="E3337" s="2">
        <v>1046482</v>
      </c>
    </row>
    <row r="3338" spans="1:5" x14ac:dyDescent="0.25">
      <c r="A3338" s="4">
        <v>41994.908159722225</v>
      </c>
      <c r="B3338" s="2" t="s">
        <v>406</v>
      </c>
      <c r="C3338" s="2" t="s">
        <v>26</v>
      </c>
      <c r="D3338" s="2" t="str">
        <f>"9780787978730"</f>
        <v>9780787978730</v>
      </c>
      <c r="E3338" s="2">
        <v>228509</v>
      </c>
    </row>
    <row r="3339" spans="1:5" x14ac:dyDescent="0.25">
      <c r="A3339" s="4">
        <v>41994.89912037037</v>
      </c>
      <c r="B3339" s="2" t="s">
        <v>1186</v>
      </c>
      <c r="C3339" s="2" t="s">
        <v>63</v>
      </c>
      <c r="D3339" s="2" t="str">
        <f>"9781400846634"</f>
        <v>9781400846634</v>
      </c>
      <c r="E3339" s="2">
        <v>1114874</v>
      </c>
    </row>
    <row r="3340" spans="1:5" x14ac:dyDescent="0.25">
      <c r="A3340" s="4">
        <v>41932.920694444445</v>
      </c>
      <c r="B3340" s="2" t="s">
        <v>3104</v>
      </c>
      <c r="C3340" s="2" t="s">
        <v>18</v>
      </c>
      <c r="D3340" s="2" t="str">
        <f>"9780567456489"</f>
        <v>9780567456489</v>
      </c>
      <c r="E3340" s="2">
        <v>894534</v>
      </c>
    </row>
    <row r="3341" spans="1:5" x14ac:dyDescent="0.25">
      <c r="A3341" s="4">
        <v>41985.472511574073</v>
      </c>
      <c r="B3341" s="2" t="s">
        <v>2337</v>
      </c>
      <c r="C3341" s="2" t="s">
        <v>63</v>
      </c>
      <c r="D3341" s="2" t="str">
        <f>"9781400852055"</f>
        <v>9781400852055</v>
      </c>
      <c r="E3341" s="2">
        <v>1740482</v>
      </c>
    </row>
    <row r="3342" spans="1:5" x14ac:dyDescent="0.25">
      <c r="A3342" s="4">
        <v>41907.583645833336</v>
      </c>
      <c r="B3342" s="2" t="s">
        <v>3676</v>
      </c>
      <c r="C3342" s="2" t="s">
        <v>72</v>
      </c>
      <c r="D3342" s="2" t="str">
        <f>"9780748647569"</f>
        <v>9780748647569</v>
      </c>
      <c r="E3342" s="2">
        <v>767121</v>
      </c>
    </row>
    <row r="3343" spans="1:5" x14ac:dyDescent="0.25">
      <c r="A3343" s="4">
        <v>41994.885046296295</v>
      </c>
      <c r="B3343" s="2" t="s">
        <v>1971</v>
      </c>
      <c r="C3343" s="2" t="s">
        <v>18</v>
      </c>
      <c r="D3343" s="2" t="str">
        <f>"9780567604521"</f>
        <v>9780567604521</v>
      </c>
      <c r="E3343" s="2">
        <v>1582882</v>
      </c>
    </row>
    <row r="3344" spans="1:5" x14ac:dyDescent="0.25">
      <c r="A3344" s="4">
        <v>41994.885046296295</v>
      </c>
      <c r="B3344" s="2" t="s">
        <v>1968</v>
      </c>
      <c r="C3344" s="2" t="s">
        <v>18</v>
      </c>
      <c r="D3344" s="2" t="str">
        <f>"9781472558282"</f>
        <v>9781472558282</v>
      </c>
      <c r="E3344" s="2">
        <v>1589515</v>
      </c>
    </row>
    <row r="3345" spans="1:5" x14ac:dyDescent="0.25">
      <c r="A3345" s="4">
        <v>41994.885046296295</v>
      </c>
      <c r="B3345" s="2" t="s">
        <v>1970</v>
      </c>
      <c r="C3345" s="2" t="s">
        <v>18</v>
      </c>
      <c r="D3345" s="2" t="str">
        <f>"9781472558275"</f>
        <v>9781472558275</v>
      </c>
      <c r="E3345" s="2">
        <v>1589513</v>
      </c>
    </row>
    <row r="3346" spans="1:5" x14ac:dyDescent="0.25">
      <c r="A3346" s="4">
        <v>41994.885046296295</v>
      </c>
      <c r="B3346" s="2" t="s">
        <v>1969</v>
      </c>
      <c r="C3346" s="2" t="s">
        <v>18</v>
      </c>
      <c r="D3346" s="2" t="str">
        <f>"9781472558299"</f>
        <v>9781472558299</v>
      </c>
      <c r="E3346" s="2">
        <v>1589514</v>
      </c>
    </row>
    <row r="3347" spans="1:5" x14ac:dyDescent="0.25">
      <c r="A3347" s="4">
        <v>41915.60732638889</v>
      </c>
      <c r="B3347" s="2" t="s">
        <v>3493</v>
      </c>
      <c r="C3347" s="2" t="s">
        <v>26</v>
      </c>
      <c r="D3347" s="2" t="str">
        <f>"9781444395945"</f>
        <v>9781444395945</v>
      </c>
      <c r="E3347" s="2">
        <v>675270</v>
      </c>
    </row>
    <row r="3348" spans="1:5" x14ac:dyDescent="0.25">
      <c r="A3348" s="4">
        <v>41980.676886574074</v>
      </c>
      <c r="B3348" s="2" t="s">
        <v>2506</v>
      </c>
      <c r="C3348" s="2" t="s">
        <v>63</v>
      </c>
      <c r="D3348" s="2" t="str">
        <f>"9781400849086"</f>
        <v>9781400849086</v>
      </c>
      <c r="E3348" s="2">
        <v>1295234</v>
      </c>
    </row>
    <row r="3349" spans="1:5" x14ac:dyDescent="0.25">
      <c r="A3349" s="4">
        <v>41994.902013888888</v>
      </c>
      <c r="B3349" s="2" t="s">
        <v>670</v>
      </c>
      <c r="C3349" s="2" t="s">
        <v>119</v>
      </c>
      <c r="D3349" s="2" t="str">
        <f>"9780520957824"</f>
        <v>9780520957824</v>
      </c>
      <c r="E3349" s="2">
        <v>1644383</v>
      </c>
    </row>
    <row r="3350" spans="1:5" x14ac:dyDescent="0.25">
      <c r="A3350" s="4">
        <v>41994.899050925924</v>
      </c>
      <c r="B3350" s="2" t="s">
        <v>1396</v>
      </c>
      <c r="C3350" s="2" t="s">
        <v>63</v>
      </c>
      <c r="D3350" s="2" t="str">
        <f>"9781400831104"</f>
        <v>9781400831104</v>
      </c>
      <c r="E3350" s="2">
        <v>475849</v>
      </c>
    </row>
    <row r="3351" spans="1:5" x14ac:dyDescent="0.25">
      <c r="A3351" s="4">
        <v>41914.288402777776</v>
      </c>
      <c r="B3351" s="2" t="s">
        <v>3522</v>
      </c>
      <c r="C3351" s="2" t="s">
        <v>96</v>
      </c>
      <c r="D3351" s="2" t="str">
        <f>"9780807868126"</f>
        <v>9780807868126</v>
      </c>
      <c r="E3351" s="2">
        <v>605924</v>
      </c>
    </row>
    <row r="3352" spans="1:5" x14ac:dyDescent="0.25">
      <c r="A3352" s="4">
        <v>41919.406863425924</v>
      </c>
      <c r="B3352" s="2" t="s">
        <v>3403</v>
      </c>
      <c r="C3352" s="2" t="s">
        <v>26</v>
      </c>
      <c r="D3352" s="2" t="str">
        <f>"9781444309171"</f>
        <v>9781444309171</v>
      </c>
      <c r="E3352" s="2">
        <v>428104</v>
      </c>
    </row>
    <row r="3353" spans="1:5" x14ac:dyDescent="0.25">
      <c r="A3353" s="4">
        <v>41979.571064814816</v>
      </c>
      <c r="B3353" s="2" t="s">
        <v>2540</v>
      </c>
      <c r="C3353" s="2" t="s">
        <v>63</v>
      </c>
      <c r="D3353" s="2" t="str">
        <f>"9781400851522"</f>
        <v>9781400851522</v>
      </c>
      <c r="E3353" s="2">
        <v>1647629</v>
      </c>
    </row>
    <row r="3354" spans="1:5" x14ac:dyDescent="0.25">
      <c r="A3354" s="4">
        <v>41994.901979166665</v>
      </c>
      <c r="B3354" s="2" t="s">
        <v>796</v>
      </c>
      <c r="C3354" s="2" t="s">
        <v>119</v>
      </c>
      <c r="D3354" s="2" t="str">
        <f>"9780520952355"</f>
        <v>9780520952355</v>
      </c>
      <c r="E3354" s="2">
        <v>860289</v>
      </c>
    </row>
    <row r="3355" spans="1:5" x14ac:dyDescent="0.25">
      <c r="A3355" s="4">
        <v>41994.899097222224</v>
      </c>
      <c r="B3355" s="2" t="s">
        <v>1246</v>
      </c>
      <c r="C3355" s="2" t="s">
        <v>63</v>
      </c>
      <c r="D3355" s="2" t="str">
        <f>"9781400841622"</f>
        <v>9781400841622</v>
      </c>
      <c r="E3355" s="2">
        <v>860079</v>
      </c>
    </row>
    <row r="3356" spans="1:5" x14ac:dyDescent="0.25">
      <c r="A3356" s="4">
        <v>41884.576238425929</v>
      </c>
      <c r="B3356" s="2" t="s">
        <v>3909</v>
      </c>
      <c r="C3356" s="2" t="s">
        <v>63</v>
      </c>
      <c r="D3356" s="2" t="str">
        <f>"9781400837083"</f>
        <v>9781400837083</v>
      </c>
      <c r="E3356" s="2">
        <v>664608</v>
      </c>
    </row>
    <row r="3357" spans="1:5" x14ac:dyDescent="0.25">
      <c r="A3357" s="4">
        <v>41994.885046296295</v>
      </c>
      <c r="B3357" s="2" t="s">
        <v>1985</v>
      </c>
      <c r="C3357" s="2" t="s">
        <v>18</v>
      </c>
      <c r="D3357" s="2" t="str">
        <f>"9781472521187"</f>
        <v>9781472521187</v>
      </c>
      <c r="E3357" s="2">
        <v>1426803</v>
      </c>
    </row>
    <row r="3358" spans="1:5" x14ac:dyDescent="0.25">
      <c r="A3358" s="4">
        <v>41932.806689814817</v>
      </c>
      <c r="B3358" s="2" t="s">
        <v>3111</v>
      </c>
      <c r="C3358" s="2" t="s">
        <v>63</v>
      </c>
      <c r="D3358" s="2" t="str">
        <f>"9781400836826"</f>
        <v>9781400836826</v>
      </c>
      <c r="E3358" s="2">
        <v>557135</v>
      </c>
    </row>
    <row r="3359" spans="1:5" x14ac:dyDescent="0.25">
      <c r="A3359" s="4">
        <v>41994.908182870371</v>
      </c>
      <c r="B3359" s="2" t="s">
        <v>346</v>
      </c>
      <c r="C3359" s="2" t="s">
        <v>26</v>
      </c>
      <c r="D3359" s="2" t="str">
        <f>"9780470430880"</f>
        <v>9780470430880</v>
      </c>
      <c r="E3359" s="2">
        <v>468716</v>
      </c>
    </row>
    <row r="3360" spans="1:5" x14ac:dyDescent="0.25">
      <c r="A3360" s="4">
        <v>41994.901967592596</v>
      </c>
      <c r="B3360" s="2" t="s">
        <v>822</v>
      </c>
      <c r="C3360" s="2" t="s">
        <v>119</v>
      </c>
      <c r="D3360" s="2" t="str">
        <f>"9780520908840"</f>
        <v>9780520908840</v>
      </c>
      <c r="E3360" s="2">
        <v>837202</v>
      </c>
    </row>
    <row r="3361" spans="1:5" x14ac:dyDescent="0.25">
      <c r="A3361" s="4">
        <v>41977.41300925926</v>
      </c>
      <c r="B3361" s="2" t="s">
        <v>2615</v>
      </c>
      <c r="C3361" s="2" t="s">
        <v>18</v>
      </c>
      <c r="D3361" s="2" t="str">
        <f>"9781474225489"</f>
        <v>9781474225489</v>
      </c>
      <c r="E3361" s="2">
        <v>1778888</v>
      </c>
    </row>
    <row r="3362" spans="1:5" x14ac:dyDescent="0.25">
      <c r="A3362" s="4">
        <v>41994.884976851848</v>
      </c>
      <c r="B3362" s="2" t="s">
        <v>2146</v>
      </c>
      <c r="C3362" s="2" t="s">
        <v>18</v>
      </c>
      <c r="D3362" s="2" t="str">
        <f>"9781441115836"</f>
        <v>9781441115836</v>
      </c>
      <c r="E3362" s="2">
        <v>476545</v>
      </c>
    </row>
    <row r="3363" spans="1:5" x14ac:dyDescent="0.25">
      <c r="A3363" s="4">
        <v>41994.908217592594</v>
      </c>
      <c r="B3363" s="2" t="s">
        <v>248</v>
      </c>
      <c r="C3363" s="2" t="s">
        <v>26</v>
      </c>
      <c r="D3363" s="2" t="str">
        <f>"9781118091272"</f>
        <v>9781118091272</v>
      </c>
      <c r="E3363" s="2">
        <v>697739</v>
      </c>
    </row>
    <row r="3364" spans="1:5" x14ac:dyDescent="0.25">
      <c r="A3364" s="4">
        <v>42878.555868055555</v>
      </c>
      <c r="B3364" s="2" t="s">
        <v>145</v>
      </c>
      <c r="C3364" s="2" t="s">
        <v>26</v>
      </c>
      <c r="D3364" s="2" t="str">
        <f>"9781118834756"</f>
        <v>9781118834756</v>
      </c>
      <c r="E3364" s="2">
        <v>4678298</v>
      </c>
    </row>
    <row r="3365" spans="1:5" x14ac:dyDescent="0.25">
      <c r="A3365" s="4">
        <v>41994.899108796293</v>
      </c>
      <c r="B3365" s="2" t="s">
        <v>1230</v>
      </c>
      <c r="C3365" s="2" t="s">
        <v>63</v>
      </c>
      <c r="D3365" s="2" t="str">
        <f>"9781400841875"</f>
        <v>9781400841875</v>
      </c>
      <c r="E3365" s="2">
        <v>882551</v>
      </c>
    </row>
    <row r="3366" spans="1:5" x14ac:dyDescent="0.25">
      <c r="A3366" s="4">
        <v>41911.474999999999</v>
      </c>
      <c r="B3366" s="2" t="s">
        <v>3602</v>
      </c>
      <c r="C3366" s="2" t="s">
        <v>7</v>
      </c>
      <c r="D3366" s="2" t="str">
        <f>"9781452264196"</f>
        <v>9781452264196</v>
      </c>
      <c r="E3366" s="2">
        <v>997053</v>
      </c>
    </row>
    <row r="3367" spans="1:5" x14ac:dyDescent="0.25">
      <c r="A3367" s="4">
        <v>41910.828773148147</v>
      </c>
      <c r="B3367" s="2" t="s">
        <v>3613</v>
      </c>
      <c r="C3367" s="2" t="s">
        <v>63</v>
      </c>
      <c r="D3367" s="2" t="str">
        <f>"9781400833580"</f>
        <v>9781400833580</v>
      </c>
      <c r="E3367" s="2">
        <v>483494</v>
      </c>
    </row>
    <row r="3368" spans="1:5" x14ac:dyDescent="0.25">
      <c r="A3368" s="4">
        <v>41994.899097222224</v>
      </c>
      <c r="B3368" s="2" t="s">
        <v>1244</v>
      </c>
      <c r="C3368" s="2" t="s">
        <v>63</v>
      </c>
      <c r="D3368" s="2" t="str">
        <f>"9781400841820"</f>
        <v>9781400841820</v>
      </c>
      <c r="E3368" s="2">
        <v>864785</v>
      </c>
    </row>
    <row r="3369" spans="1:5" x14ac:dyDescent="0.25">
      <c r="A3369" s="4">
        <v>41994.908182870371</v>
      </c>
      <c r="B3369" s="2" t="s">
        <v>339</v>
      </c>
      <c r="C3369" s="2" t="s">
        <v>26</v>
      </c>
      <c r="D3369" s="2" t="str">
        <f>"9780470695425"</f>
        <v>9780470695425</v>
      </c>
      <c r="E3369" s="2">
        <v>470621</v>
      </c>
    </row>
    <row r="3370" spans="1:5" x14ac:dyDescent="0.25">
      <c r="A3370" s="4">
        <v>41912.683576388888</v>
      </c>
      <c r="B3370" s="2" t="s">
        <v>3553</v>
      </c>
      <c r="C3370" s="2" t="s">
        <v>26</v>
      </c>
      <c r="D3370" s="2" t="str">
        <f>"9781444357868"</f>
        <v>9781444357868</v>
      </c>
      <c r="E3370" s="2">
        <v>694273</v>
      </c>
    </row>
    <row r="3371" spans="1:5" x14ac:dyDescent="0.25">
      <c r="A3371" s="4">
        <v>41994.896157407406</v>
      </c>
      <c r="B3371" s="2" t="s">
        <v>1488</v>
      </c>
      <c r="C3371" s="2" t="s">
        <v>28</v>
      </c>
      <c r="D3371" s="2" t="str">
        <f>"9780253009173"</f>
        <v>9780253009173</v>
      </c>
      <c r="E3371" s="2">
        <v>1161293</v>
      </c>
    </row>
    <row r="3372" spans="1:5" x14ac:dyDescent="0.25">
      <c r="A3372" s="4">
        <v>41994.901909722219</v>
      </c>
      <c r="B3372" s="2" t="s">
        <v>1012</v>
      </c>
      <c r="C3372" s="2" t="s">
        <v>119</v>
      </c>
      <c r="D3372" s="2" t="str">
        <f>"9780520935662"</f>
        <v>9780520935662</v>
      </c>
      <c r="E3372" s="2">
        <v>224066</v>
      </c>
    </row>
    <row r="3373" spans="1:5" x14ac:dyDescent="0.25">
      <c r="A3373" s="4">
        <v>42093.759270833332</v>
      </c>
      <c r="B3373" s="2" t="s">
        <v>2246</v>
      </c>
      <c r="C3373" s="2" t="s">
        <v>26</v>
      </c>
      <c r="D3373" s="2" t="str">
        <f>"9781118013496"</f>
        <v>9781118013496</v>
      </c>
      <c r="E3373" s="2">
        <v>624593</v>
      </c>
    </row>
    <row r="3374" spans="1:5" x14ac:dyDescent="0.25">
      <c r="A3374" s="4">
        <v>41858.62777777778</v>
      </c>
      <c r="B3374" s="2" t="s">
        <v>2246</v>
      </c>
      <c r="C3374" s="2" t="s">
        <v>26</v>
      </c>
      <c r="D3374" s="2" t="str">
        <f>"9781118013496"</f>
        <v>9781118013496</v>
      </c>
      <c r="E3374" s="2">
        <v>624593</v>
      </c>
    </row>
    <row r="3375" spans="1:5" x14ac:dyDescent="0.25">
      <c r="A3375" s="4">
        <v>41974.437384259261</v>
      </c>
      <c r="B3375" s="2" t="s">
        <v>2987</v>
      </c>
      <c r="C3375" s="2" t="s">
        <v>26</v>
      </c>
      <c r="D3375" s="2" t="str">
        <f>"9781118094167"</f>
        <v>9781118094167</v>
      </c>
      <c r="E3375" s="2">
        <v>661502</v>
      </c>
    </row>
    <row r="3376" spans="1:5" x14ac:dyDescent="0.25">
      <c r="A3376" s="4">
        <v>41994.905601851853</v>
      </c>
      <c r="B3376" s="2" t="s">
        <v>521</v>
      </c>
      <c r="C3376" s="2" t="s">
        <v>96</v>
      </c>
      <c r="D3376" s="2" t="str">
        <f>"9780807887639"</f>
        <v>9780807887639</v>
      </c>
      <c r="E3376" s="2">
        <v>880135</v>
      </c>
    </row>
    <row r="3377" spans="1:5" x14ac:dyDescent="0.25">
      <c r="A3377" s="4">
        <v>41994.899062500001</v>
      </c>
      <c r="B3377" s="2" t="s">
        <v>1357</v>
      </c>
      <c r="C3377" s="2" t="s">
        <v>63</v>
      </c>
      <c r="D3377" s="2" t="str">
        <f>"9781400821785"</f>
        <v>9781400821785</v>
      </c>
      <c r="E3377" s="2">
        <v>581661</v>
      </c>
    </row>
    <row r="3378" spans="1:5" x14ac:dyDescent="0.25">
      <c r="A3378" s="4">
        <v>41935.613796296297</v>
      </c>
      <c r="B3378" s="2" t="s">
        <v>3024</v>
      </c>
      <c r="C3378" s="2" t="s">
        <v>119</v>
      </c>
      <c r="D3378" s="2" t="str">
        <f>"9780520932029"</f>
        <v>9780520932029</v>
      </c>
      <c r="E3378" s="2">
        <v>265551</v>
      </c>
    </row>
    <row r="3379" spans="1:5" x14ac:dyDescent="0.25">
      <c r="A3379" s="4">
        <v>41982.684618055559</v>
      </c>
      <c r="B3379" s="2" t="s">
        <v>2427</v>
      </c>
      <c r="C3379" s="2" t="s">
        <v>18</v>
      </c>
      <c r="D3379" s="2" t="str">
        <f>"9781441116390"</f>
        <v>9781441116390</v>
      </c>
      <c r="E3379" s="2">
        <v>564311</v>
      </c>
    </row>
    <row r="3380" spans="1:5" x14ac:dyDescent="0.25">
      <c r="A3380" s="4">
        <v>41994.896111111113</v>
      </c>
      <c r="B3380" s="2" t="s">
        <v>1569</v>
      </c>
      <c r="C3380" s="2" t="s">
        <v>28</v>
      </c>
      <c r="D3380" s="2" t="str">
        <f>"9780253003560"</f>
        <v>9780253003560</v>
      </c>
      <c r="E3380" s="2">
        <v>613576</v>
      </c>
    </row>
    <row r="3381" spans="1:5" x14ac:dyDescent="0.25">
      <c r="A3381" s="4">
        <v>41977.307037037041</v>
      </c>
      <c r="B3381" s="2" t="s">
        <v>2620</v>
      </c>
      <c r="C3381" s="2" t="s">
        <v>18</v>
      </c>
      <c r="D3381" s="2" t="str">
        <f>"9780567470010"</f>
        <v>9780567470010</v>
      </c>
      <c r="E3381" s="2">
        <v>743283</v>
      </c>
    </row>
    <row r="3382" spans="1:5" x14ac:dyDescent="0.25">
      <c r="A3382" s="4">
        <v>41994.885023148148</v>
      </c>
      <c r="B3382" s="2" t="s">
        <v>2055</v>
      </c>
      <c r="C3382" s="2" t="s">
        <v>18</v>
      </c>
      <c r="D3382" s="2" t="str">
        <f>"9781441148612"</f>
        <v>9781441148612</v>
      </c>
      <c r="E3382" s="2">
        <v>918768</v>
      </c>
    </row>
    <row r="3383" spans="1:5" x14ac:dyDescent="0.25">
      <c r="A3383" s="4">
        <v>41994.899108796293</v>
      </c>
      <c r="B3383" s="2" t="s">
        <v>1200</v>
      </c>
      <c r="C3383" s="2" t="s">
        <v>63</v>
      </c>
      <c r="D3383" s="2" t="str">
        <f>"9781400846641"</f>
        <v>9781400846641</v>
      </c>
      <c r="E3383" s="2">
        <v>1084824</v>
      </c>
    </row>
    <row r="3384" spans="1:5" x14ac:dyDescent="0.25">
      <c r="A3384" s="4">
        <v>41916.55641203704</v>
      </c>
      <c r="B3384" s="2" t="s">
        <v>3477</v>
      </c>
      <c r="C3384" s="2" t="s">
        <v>26</v>
      </c>
      <c r="D3384" s="2" t="str">
        <f>"9780787967833"</f>
        <v>9780787967833</v>
      </c>
      <c r="E3384" s="2">
        <v>151935</v>
      </c>
    </row>
    <row r="3385" spans="1:5" x14ac:dyDescent="0.25">
      <c r="A3385" s="4">
        <v>41994.908171296294</v>
      </c>
      <c r="B3385" s="2" t="s">
        <v>383</v>
      </c>
      <c r="C3385" s="2" t="s">
        <v>26</v>
      </c>
      <c r="D3385" s="2" t="str">
        <f>"9780787997106"</f>
        <v>9780787997106</v>
      </c>
      <c r="E3385" s="2">
        <v>309808</v>
      </c>
    </row>
    <row r="3386" spans="1:5" x14ac:dyDescent="0.25">
      <c r="A3386" s="4">
        <v>41906.882245370369</v>
      </c>
      <c r="B3386" s="2" t="s">
        <v>3699</v>
      </c>
      <c r="C3386" s="2" t="s">
        <v>205</v>
      </c>
      <c r="D3386" s="2" t="str">
        <f>"9780470594551"</f>
        <v>9780470594551</v>
      </c>
      <c r="E3386" s="2">
        <v>529945</v>
      </c>
    </row>
    <row r="3387" spans="1:5" x14ac:dyDescent="0.25">
      <c r="A3387" s="4">
        <v>41994.908148148148</v>
      </c>
      <c r="B3387" s="2" t="s">
        <v>412</v>
      </c>
      <c r="C3387" s="2" t="s">
        <v>205</v>
      </c>
      <c r="D3387" s="2" t="str">
        <f>"9780787971786"</f>
        <v>9780787971786</v>
      </c>
      <c r="E3387" s="2">
        <v>175957</v>
      </c>
    </row>
    <row r="3388" spans="1:5" x14ac:dyDescent="0.25">
      <c r="A3388" s="4">
        <v>41979.95171296296</v>
      </c>
      <c r="B3388" s="2" t="s">
        <v>2526</v>
      </c>
      <c r="C3388" s="2" t="s">
        <v>119</v>
      </c>
      <c r="D3388" s="2" t="str">
        <f>"9780520954021"</f>
        <v>9780520954021</v>
      </c>
      <c r="E3388" s="2">
        <v>1040634</v>
      </c>
    </row>
    <row r="3389" spans="1:5" x14ac:dyDescent="0.25">
      <c r="A3389" s="4">
        <v>41994.905613425923</v>
      </c>
      <c r="B3389" s="2" t="s">
        <v>486</v>
      </c>
      <c r="C3389" s="2" t="s">
        <v>30</v>
      </c>
      <c r="D3389" s="2" t="str">
        <f>"9781469607887"</f>
        <v>9781469607887</v>
      </c>
      <c r="E3389" s="2">
        <v>1068842</v>
      </c>
    </row>
    <row r="3390" spans="1:5" x14ac:dyDescent="0.25">
      <c r="A3390" s="4">
        <v>43140.375208333331</v>
      </c>
      <c r="B3390" s="2" t="s">
        <v>105</v>
      </c>
      <c r="C3390" s="2" t="s">
        <v>7</v>
      </c>
      <c r="D3390" s="2" t="str">
        <f>"9789386602756"</f>
        <v>9789386602756</v>
      </c>
      <c r="E3390" s="2">
        <v>5131480</v>
      </c>
    </row>
    <row r="3391" spans="1:5" x14ac:dyDescent="0.25">
      <c r="A3391" s="4">
        <v>41980.652395833335</v>
      </c>
      <c r="B3391" s="2" t="s">
        <v>2507</v>
      </c>
      <c r="C3391" s="2" t="s">
        <v>63</v>
      </c>
      <c r="D3391" s="2" t="str">
        <f>"9781400824205"</f>
        <v>9781400824205</v>
      </c>
      <c r="E3391" s="2">
        <v>714074</v>
      </c>
    </row>
    <row r="3392" spans="1:5" x14ac:dyDescent="0.25">
      <c r="A3392" s="4">
        <v>43203.625590277778</v>
      </c>
      <c r="B3392" s="2" t="s">
        <v>54</v>
      </c>
      <c r="C3392" s="2" t="s">
        <v>28</v>
      </c>
      <c r="D3392" s="2" t="str">
        <f>"9780253029102"</f>
        <v>9780253029102</v>
      </c>
      <c r="E3392" s="2">
        <v>5150101</v>
      </c>
    </row>
    <row r="3393" spans="1:5" x14ac:dyDescent="0.25">
      <c r="A3393" s="4">
        <v>41994.892939814818</v>
      </c>
      <c r="B3393" s="2" t="s">
        <v>1671</v>
      </c>
      <c r="C3393" s="2" t="s">
        <v>16</v>
      </c>
      <c r="D3393" s="2" t="str">
        <f>"9781462507726"</f>
        <v>9781462507726</v>
      </c>
      <c r="E3393" s="2">
        <v>1069223</v>
      </c>
    </row>
    <row r="3394" spans="1:5" x14ac:dyDescent="0.25">
      <c r="A3394" s="4">
        <v>41929.063090277778</v>
      </c>
      <c r="B3394" s="2" t="s">
        <v>3184</v>
      </c>
      <c r="C3394" s="2" t="s">
        <v>36</v>
      </c>
      <c r="D3394" s="2" t="str">
        <f>"9780786457595"</f>
        <v>9780786457595</v>
      </c>
      <c r="E3394" s="2">
        <v>578775</v>
      </c>
    </row>
    <row r="3395" spans="1:5" x14ac:dyDescent="0.25">
      <c r="A3395" s="4">
        <v>41982.399074074077</v>
      </c>
      <c r="B3395" s="2" t="s">
        <v>2448</v>
      </c>
      <c r="C3395" s="2" t="s">
        <v>26</v>
      </c>
      <c r="D3395" s="2" t="str">
        <f>"9781444395679"</f>
        <v>9781444395679</v>
      </c>
      <c r="E3395" s="2">
        <v>700592</v>
      </c>
    </row>
    <row r="3396" spans="1:5" x14ac:dyDescent="0.25">
      <c r="A3396" s="4">
        <v>41994.908194444448</v>
      </c>
      <c r="B3396" s="2" t="s">
        <v>319</v>
      </c>
      <c r="C3396" s="2" t="s">
        <v>26</v>
      </c>
      <c r="D3396" s="2" t="str">
        <f>"9780470712047"</f>
        <v>9780470712047</v>
      </c>
      <c r="E3396" s="2">
        <v>565073</v>
      </c>
    </row>
    <row r="3397" spans="1:5" x14ac:dyDescent="0.25">
      <c r="A3397" s="4">
        <v>41994.908159722225</v>
      </c>
      <c r="B3397" s="2" t="s">
        <v>388</v>
      </c>
      <c r="C3397" s="2" t="s">
        <v>26</v>
      </c>
      <c r="D3397" s="2" t="str">
        <f>"9780470139271"</f>
        <v>9780470139271</v>
      </c>
      <c r="E3397" s="2">
        <v>288187</v>
      </c>
    </row>
    <row r="3398" spans="1:5" x14ac:dyDescent="0.25">
      <c r="A3398" s="4">
        <v>41994.908229166664</v>
      </c>
      <c r="B3398" s="2" t="s">
        <v>226</v>
      </c>
      <c r="C3398" s="2" t="s">
        <v>26</v>
      </c>
      <c r="D3398" s="2" t="str">
        <f>"9781118064122"</f>
        <v>9781118064122</v>
      </c>
      <c r="E3398" s="2">
        <v>700440</v>
      </c>
    </row>
    <row r="3399" spans="1:5" x14ac:dyDescent="0.25">
      <c r="A3399" s="4">
        <v>41934.449421296296</v>
      </c>
      <c r="B3399" s="2" t="s">
        <v>3063</v>
      </c>
      <c r="C3399" s="2" t="s">
        <v>26</v>
      </c>
      <c r="D3399" s="2" t="str">
        <f>"9780470926703"</f>
        <v>9780470926703</v>
      </c>
      <c r="E3399" s="2">
        <v>589005</v>
      </c>
    </row>
    <row r="3400" spans="1:5" x14ac:dyDescent="0.25">
      <c r="A3400" s="4">
        <v>41994.899050925924</v>
      </c>
      <c r="B3400" s="2" t="s">
        <v>1416</v>
      </c>
      <c r="C3400" s="2" t="s">
        <v>63</v>
      </c>
      <c r="D3400" s="2" t="str">
        <f>"9781400822829"</f>
        <v>9781400822829</v>
      </c>
      <c r="E3400" s="2">
        <v>457764</v>
      </c>
    </row>
    <row r="3401" spans="1:5" x14ac:dyDescent="0.25">
      <c r="A3401" s="4">
        <v>41994.899074074077</v>
      </c>
      <c r="B3401" s="2" t="s">
        <v>1349</v>
      </c>
      <c r="C3401" s="2" t="s">
        <v>63</v>
      </c>
      <c r="D3401" s="2" t="str">
        <f>"9781400836017"</f>
        <v>9781400836017</v>
      </c>
      <c r="E3401" s="2">
        <v>590832</v>
      </c>
    </row>
    <row r="3402" spans="1:5" x14ac:dyDescent="0.25">
      <c r="A3402" s="4">
        <v>41880.476319444446</v>
      </c>
      <c r="B3402" s="2" t="s">
        <v>3923</v>
      </c>
      <c r="C3402" s="2" t="s">
        <v>16</v>
      </c>
      <c r="D3402" s="2" t="str">
        <f>"9781606230978"</f>
        <v>9781606230978</v>
      </c>
      <c r="E3402" s="2">
        <v>418833</v>
      </c>
    </row>
    <row r="3403" spans="1:5" x14ac:dyDescent="0.25">
      <c r="A3403" s="4">
        <v>41976.588761574072</v>
      </c>
      <c r="B3403" s="2" t="s">
        <v>2671</v>
      </c>
      <c r="C3403" s="2" t="s">
        <v>119</v>
      </c>
      <c r="D3403" s="2" t="str">
        <f>"9780520935280"</f>
        <v>9780520935280</v>
      </c>
      <c r="E3403" s="2">
        <v>223146</v>
      </c>
    </row>
    <row r="3404" spans="1:5" x14ac:dyDescent="0.25">
      <c r="A3404" s="4">
        <v>41994.899050925924</v>
      </c>
      <c r="B3404" s="2" t="s">
        <v>1407</v>
      </c>
      <c r="C3404" s="2" t="s">
        <v>63</v>
      </c>
      <c r="D3404" s="2" t="str">
        <f>"9781400824625"</f>
        <v>9781400824625</v>
      </c>
      <c r="E3404" s="2">
        <v>457883</v>
      </c>
    </row>
    <row r="3405" spans="1:5" x14ac:dyDescent="0.25">
      <c r="A3405" s="4">
        <v>41974.695069444446</v>
      </c>
      <c r="B3405" s="2" t="s">
        <v>2928</v>
      </c>
      <c r="C3405" s="2" t="s">
        <v>96</v>
      </c>
      <c r="D3405" s="2" t="str">
        <f>"9780807837450"</f>
        <v>9780807837450</v>
      </c>
      <c r="E3405" s="2">
        <v>1013456</v>
      </c>
    </row>
    <row r="3406" spans="1:5" x14ac:dyDescent="0.25">
      <c r="A3406" s="4">
        <v>41975.38795138889</v>
      </c>
      <c r="B3406" s="2" t="s">
        <v>2865</v>
      </c>
      <c r="C3406" s="2" t="s">
        <v>119</v>
      </c>
      <c r="D3406" s="2" t="str">
        <f>"9780520913905"</f>
        <v>9780520913905</v>
      </c>
      <c r="E3406" s="2">
        <v>816150</v>
      </c>
    </row>
    <row r="3407" spans="1:5" x14ac:dyDescent="0.25">
      <c r="A3407" s="4">
        <v>41900.665844907409</v>
      </c>
      <c r="B3407" s="2" t="s">
        <v>3832</v>
      </c>
      <c r="C3407" s="2" t="s">
        <v>63</v>
      </c>
      <c r="D3407" s="2" t="str">
        <f>"9781400841950"</f>
        <v>9781400841950</v>
      </c>
      <c r="E3407" s="2">
        <v>913844</v>
      </c>
    </row>
    <row r="3408" spans="1:5" x14ac:dyDescent="0.25">
      <c r="A3408" s="4">
        <v>41982.542268518519</v>
      </c>
      <c r="B3408" s="2" t="s">
        <v>2436</v>
      </c>
      <c r="C3408" s="2" t="s">
        <v>26</v>
      </c>
      <c r="D3408" s="2" t="str">
        <f>"9781444355406"</f>
        <v>9781444355406</v>
      </c>
      <c r="E3408" s="2">
        <v>822664</v>
      </c>
    </row>
    <row r="3409" spans="1:5" x14ac:dyDescent="0.25">
      <c r="A3409" s="4">
        <v>41980.535138888888</v>
      </c>
      <c r="B3409" s="2" t="s">
        <v>2514</v>
      </c>
      <c r="C3409" s="2" t="s">
        <v>36</v>
      </c>
      <c r="D3409" s="2" t="str">
        <f>"9780786454495"</f>
        <v>9780786454495</v>
      </c>
      <c r="E3409" s="2">
        <v>1594755</v>
      </c>
    </row>
    <row r="3410" spans="1:5" x14ac:dyDescent="0.25">
      <c r="A3410" s="4">
        <v>41976.127500000002</v>
      </c>
      <c r="B3410" s="2" t="s">
        <v>2727</v>
      </c>
      <c r="C3410" s="2" t="s">
        <v>119</v>
      </c>
      <c r="D3410" s="2" t="str">
        <f>"9780520951853"</f>
        <v>9780520951853</v>
      </c>
      <c r="E3410" s="2">
        <v>870020</v>
      </c>
    </row>
    <row r="3411" spans="1:5" x14ac:dyDescent="0.25">
      <c r="A3411" s="4">
        <v>41994.885011574072</v>
      </c>
      <c r="B3411" s="2" t="s">
        <v>2067</v>
      </c>
      <c r="C3411" s="2" t="s">
        <v>18</v>
      </c>
      <c r="D3411" s="2" t="str">
        <f>"9781441184030"</f>
        <v>9781441184030</v>
      </c>
      <c r="E3411" s="2">
        <v>831545</v>
      </c>
    </row>
    <row r="3412" spans="1:5" x14ac:dyDescent="0.25">
      <c r="A3412" s="4">
        <v>41994.896157407406</v>
      </c>
      <c r="B3412" s="2" t="s">
        <v>1476</v>
      </c>
      <c r="C3412" s="2" t="s">
        <v>28</v>
      </c>
      <c r="D3412" s="2" t="str">
        <f>"9780253007735"</f>
        <v>9780253007735</v>
      </c>
      <c r="E3412" s="2">
        <v>1211182</v>
      </c>
    </row>
    <row r="3413" spans="1:5" x14ac:dyDescent="0.25">
      <c r="A3413" s="4">
        <v>41994.901967592596</v>
      </c>
      <c r="B3413" s="2" t="s">
        <v>813</v>
      </c>
      <c r="C3413" s="2" t="s">
        <v>119</v>
      </c>
      <c r="D3413" s="2" t="str">
        <f>"9780520947801"</f>
        <v>9780520947801</v>
      </c>
      <c r="E3413" s="2">
        <v>837304</v>
      </c>
    </row>
    <row r="3414" spans="1:5" x14ac:dyDescent="0.25">
      <c r="A3414" s="4">
        <v>41994.901967592596</v>
      </c>
      <c r="B3414" s="2" t="s">
        <v>815</v>
      </c>
      <c r="C3414" s="2" t="s">
        <v>119</v>
      </c>
      <c r="D3414" s="2" t="str">
        <f>"9780520933651"</f>
        <v>9780520933651</v>
      </c>
      <c r="E3414" s="2">
        <v>837282</v>
      </c>
    </row>
    <row r="3415" spans="1:5" x14ac:dyDescent="0.25">
      <c r="A3415" s="4">
        <v>41994.908148148148</v>
      </c>
      <c r="B3415" s="2" t="s">
        <v>414</v>
      </c>
      <c r="C3415" s="2" t="s">
        <v>26</v>
      </c>
      <c r="D3415" s="2" t="str">
        <f>"9780471431374"</f>
        <v>9780471431374</v>
      </c>
      <c r="E3415" s="2">
        <v>157076</v>
      </c>
    </row>
    <row r="3416" spans="1:5" x14ac:dyDescent="0.25">
      <c r="A3416" s="4">
        <v>41975.401284722226</v>
      </c>
      <c r="B3416" s="2" t="s">
        <v>2860</v>
      </c>
      <c r="C3416" s="2" t="s">
        <v>7</v>
      </c>
      <c r="D3416" s="2" t="str">
        <f>"9780857021984"</f>
        <v>9780857021984</v>
      </c>
      <c r="E3416" s="2">
        <v>483401</v>
      </c>
    </row>
    <row r="3417" spans="1:5" x14ac:dyDescent="0.25">
      <c r="A3417" s="4">
        <v>41918.689409722225</v>
      </c>
      <c r="B3417" s="2" t="s">
        <v>3424</v>
      </c>
      <c r="C3417" s="2" t="s">
        <v>7</v>
      </c>
      <c r="D3417" s="2" t="str">
        <f>"9781847877505"</f>
        <v>9781847877505</v>
      </c>
      <c r="E3417" s="2">
        <v>334577</v>
      </c>
    </row>
    <row r="3418" spans="1:5" x14ac:dyDescent="0.25">
      <c r="A3418" s="4">
        <v>41994.896122685182</v>
      </c>
      <c r="B3418" s="2" t="s">
        <v>1546</v>
      </c>
      <c r="C3418" s="2" t="s">
        <v>28</v>
      </c>
      <c r="D3418" s="2" t="str">
        <f>"9780253000644"</f>
        <v>9780253000644</v>
      </c>
      <c r="E3418" s="2">
        <v>680454</v>
      </c>
    </row>
    <row r="3419" spans="1:5" x14ac:dyDescent="0.25">
      <c r="A3419" s="4">
        <v>41980.856435185182</v>
      </c>
      <c r="B3419" s="2" t="s">
        <v>2497</v>
      </c>
      <c r="C3419" s="2" t="s">
        <v>26</v>
      </c>
      <c r="D3419" s="2" t="str">
        <f>"9780471441625"</f>
        <v>9780471441625</v>
      </c>
      <c r="E3419" s="2">
        <v>121613</v>
      </c>
    </row>
    <row r="3420" spans="1:5" x14ac:dyDescent="0.25">
      <c r="A3420" s="4">
        <v>41994.885034722225</v>
      </c>
      <c r="B3420" s="2" t="s">
        <v>2017</v>
      </c>
      <c r="C3420" s="2" t="s">
        <v>18</v>
      </c>
      <c r="D3420" s="2" t="str">
        <f>"9781441152008"</f>
        <v>9781441152008</v>
      </c>
      <c r="E3420" s="2">
        <v>1206949</v>
      </c>
    </row>
    <row r="3421" spans="1:5" x14ac:dyDescent="0.25">
      <c r="A3421" s="4">
        <v>41994.885046296295</v>
      </c>
      <c r="B3421" s="2" t="s">
        <v>1982</v>
      </c>
      <c r="C3421" s="2" t="s">
        <v>18</v>
      </c>
      <c r="D3421" s="2" t="str">
        <f>"9781408131480"</f>
        <v>9781408131480</v>
      </c>
      <c r="E3421" s="2">
        <v>1507659</v>
      </c>
    </row>
    <row r="3422" spans="1:5" x14ac:dyDescent="0.25">
      <c r="A3422" s="4">
        <v>41976.439039351855</v>
      </c>
      <c r="B3422" s="2" t="s">
        <v>2712</v>
      </c>
      <c r="C3422" s="2" t="s">
        <v>18</v>
      </c>
      <c r="D3422" s="2" t="str">
        <f>"9781408198629"</f>
        <v>9781408198629</v>
      </c>
      <c r="E3422" s="2">
        <v>692101</v>
      </c>
    </row>
    <row r="3423" spans="1:5" x14ac:dyDescent="0.25">
      <c r="A3423" s="4">
        <v>41994.896145833336</v>
      </c>
      <c r="B3423" s="2" t="s">
        <v>1510</v>
      </c>
      <c r="C3423" s="2" t="s">
        <v>28</v>
      </c>
      <c r="D3423" s="2" t="str">
        <f>"9780253007056"</f>
        <v>9780253007056</v>
      </c>
      <c r="E3423" s="2">
        <v>816870</v>
      </c>
    </row>
    <row r="3424" spans="1:5" x14ac:dyDescent="0.25">
      <c r="A3424" s="4">
        <v>41994.878750000003</v>
      </c>
      <c r="B3424" s="2" t="s">
        <v>2211</v>
      </c>
      <c r="C3424" s="2" t="s">
        <v>2170</v>
      </c>
      <c r="D3424" s="2" t="str">
        <f>"9781848135512"</f>
        <v>9781848135512</v>
      </c>
      <c r="E3424" s="2">
        <v>474797</v>
      </c>
    </row>
    <row r="3425" spans="1:5" x14ac:dyDescent="0.25">
      <c r="A3425" s="4">
        <v>41994.878738425927</v>
      </c>
      <c r="B3425" s="2" t="s">
        <v>2227</v>
      </c>
      <c r="C3425" s="2" t="s">
        <v>2170</v>
      </c>
      <c r="D3425" s="2" t="str">
        <f>"9781848130722"</f>
        <v>9781848130722</v>
      </c>
      <c r="E3425" s="2">
        <v>332901</v>
      </c>
    </row>
    <row r="3426" spans="1:5" x14ac:dyDescent="0.25">
      <c r="A3426" s="4">
        <v>41994.908148148148</v>
      </c>
      <c r="B3426" s="2" t="s">
        <v>409</v>
      </c>
      <c r="C3426" s="2" t="s">
        <v>26</v>
      </c>
      <c r="D3426" s="2" t="str">
        <f>"9780471684022"</f>
        <v>9780471684022</v>
      </c>
      <c r="E3426" s="2">
        <v>183685</v>
      </c>
    </row>
    <row r="3427" spans="1:5" x14ac:dyDescent="0.25">
      <c r="A3427" s="4">
        <v>41911.393321759257</v>
      </c>
      <c r="B3427" s="2" t="s">
        <v>3603</v>
      </c>
      <c r="C3427" s="2" t="s">
        <v>16</v>
      </c>
      <c r="D3427" s="2" t="str">
        <f>"9781606232897"</f>
        <v>9781606232897</v>
      </c>
      <c r="E3427" s="2">
        <v>443681</v>
      </c>
    </row>
    <row r="3428" spans="1:5" x14ac:dyDescent="0.25">
      <c r="A3428" s="4">
        <v>41994.892916666664</v>
      </c>
      <c r="B3428" s="2" t="s">
        <v>1727</v>
      </c>
      <c r="C3428" s="2" t="s">
        <v>16</v>
      </c>
      <c r="D3428" s="2" t="str">
        <f>"9781609180133"</f>
        <v>9781609180133</v>
      </c>
      <c r="E3428" s="2">
        <v>647773</v>
      </c>
    </row>
    <row r="3429" spans="1:5" x14ac:dyDescent="0.25">
      <c r="A3429" s="4">
        <v>41994.892905092594</v>
      </c>
      <c r="B3429" s="2" t="s">
        <v>1753</v>
      </c>
      <c r="C3429" s="2" t="s">
        <v>16</v>
      </c>
      <c r="D3429" s="2" t="str">
        <f>"9781606234587"</f>
        <v>9781606234587</v>
      </c>
      <c r="E3429" s="2">
        <v>465665</v>
      </c>
    </row>
    <row r="3430" spans="1:5" x14ac:dyDescent="0.25">
      <c r="A3430" s="4">
        <v>41920.538136574076</v>
      </c>
      <c r="B3430" s="2" t="s">
        <v>3367</v>
      </c>
      <c r="C3430" s="2" t="s">
        <v>63</v>
      </c>
      <c r="D3430" s="2" t="str">
        <f>"9781400841479"</f>
        <v>9781400841479</v>
      </c>
      <c r="E3430" s="2">
        <v>795675</v>
      </c>
    </row>
    <row r="3431" spans="1:5" x14ac:dyDescent="0.25">
      <c r="A3431" s="4">
        <v>41979.545624999999</v>
      </c>
      <c r="B3431" s="2" t="s">
        <v>2542</v>
      </c>
      <c r="C3431" s="2" t="s">
        <v>36</v>
      </c>
      <c r="D3431" s="2" t="str">
        <f>"9780786488346"</f>
        <v>9780786488346</v>
      </c>
      <c r="E3431" s="2">
        <v>867072</v>
      </c>
    </row>
    <row r="3432" spans="1:5" x14ac:dyDescent="0.25">
      <c r="A3432" s="4">
        <v>41994.899131944447</v>
      </c>
      <c r="B3432" s="2" t="s">
        <v>1142</v>
      </c>
      <c r="C3432" s="2" t="s">
        <v>63</v>
      </c>
      <c r="D3432" s="2" t="str">
        <f>"9781400848553"</f>
        <v>9781400848553</v>
      </c>
      <c r="E3432" s="2">
        <v>1329786</v>
      </c>
    </row>
    <row r="3433" spans="1:5" x14ac:dyDescent="0.25">
      <c r="A3433" s="4">
        <v>41926.418969907405</v>
      </c>
      <c r="B3433" s="2" t="s">
        <v>3251</v>
      </c>
      <c r="C3433" s="2" t="s">
        <v>119</v>
      </c>
      <c r="D3433" s="2" t="str">
        <f>"9780520948570"</f>
        <v>9780520948570</v>
      </c>
      <c r="E3433" s="2">
        <v>714452</v>
      </c>
    </row>
    <row r="3434" spans="1:5" x14ac:dyDescent="0.25">
      <c r="A3434" s="4">
        <v>41994.901956018519</v>
      </c>
      <c r="B3434" s="2" t="s">
        <v>867</v>
      </c>
      <c r="C3434" s="2" t="s">
        <v>119</v>
      </c>
      <c r="D3434" s="2" t="str">
        <f>"9780520948587"</f>
        <v>9780520948587</v>
      </c>
      <c r="E3434" s="2">
        <v>714080</v>
      </c>
    </row>
    <row r="3435" spans="1:5" x14ac:dyDescent="0.25">
      <c r="A3435" s="4">
        <v>41994.901956018519</v>
      </c>
      <c r="B3435" s="2" t="s">
        <v>866</v>
      </c>
      <c r="C3435" s="2" t="s">
        <v>119</v>
      </c>
      <c r="D3435" s="2" t="str">
        <f>"9780520948594"</f>
        <v>9780520948594</v>
      </c>
      <c r="E3435" s="2">
        <v>714081</v>
      </c>
    </row>
    <row r="3436" spans="1:5" x14ac:dyDescent="0.25">
      <c r="A3436" s="4">
        <v>41994.901956018519</v>
      </c>
      <c r="B3436" s="2" t="s">
        <v>874</v>
      </c>
      <c r="C3436" s="2" t="s">
        <v>119</v>
      </c>
      <c r="D3436" s="2" t="str">
        <f>"9780520948600"</f>
        <v>9780520948600</v>
      </c>
      <c r="E3436" s="2">
        <v>675856</v>
      </c>
    </row>
    <row r="3437" spans="1:5" x14ac:dyDescent="0.25">
      <c r="A3437" s="4">
        <v>43144.385462962964</v>
      </c>
      <c r="B3437" s="2" t="s">
        <v>100</v>
      </c>
      <c r="C3437" s="2" t="s">
        <v>13</v>
      </c>
      <c r="D3437" s="2" t="str">
        <f>"9781615045570"</f>
        <v>9781615045570</v>
      </c>
      <c r="E3437" s="2">
        <v>1154055</v>
      </c>
    </row>
    <row r="3438" spans="1:5" x14ac:dyDescent="0.25">
      <c r="A3438" s="4">
        <v>41926.317106481481</v>
      </c>
      <c r="B3438" s="2" t="s">
        <v>3257</v>
      </c>
      <c r="C3438" s="2" t="s">
        <v>63</v>
      </c>
      <c r="D3438" s="2" t="str">
        <f>"9781400850341"</f>
        <v>9781400850341</v>
      </c>
      <c r="E3438" s="2">
        <v>1568778</v>
      </c>
    </row>
    <row r="3439" spans="1:5" x14ac:dyDescent="0.25">
      <c r="A3439" s="4">
        <v>41994.878761574073</v>
      </c>
      <c r="B3439" s="2" t="s">
        <v>2187</v>
      </c>
      <c r="C3439" s="2" t="s">
        <v>2170</v>
      </c>
      <c r="D3439" s="2" t="str">
        <f>"9781780325705"</f>
        <v>9781780325705</v>
      </c>
      <c r="E3439" s="2">
        <v>1183075</v>
      </c>
    </row>
    <row r="3440" spans="1:5" x14ac:dyDescent="0.25">
      <c r="A3440" s="4">
        <v>41933.572453703702</v>
      </c>
      <c r="B3440" s="2" t="s">
        <v>3090</v>
      </c>
      <c r="C3440" s="2" t="s">
        <v>7</v>
      </c>
      <c r="D3440" s="2" t="str">
        <f>"9781452262796"</f>
        <v>9781452262796</v>
      </c>
      <c r="E3440" s="2">
        <v>996636</v>
      </c>
    </row>
    <row r="3441" spans="1:5" x14ac:dyDescent="0.25">
      <c r="A3441" s="4">
        <v>41989.338854166665</v>
      </c>
      <c r="B3441" s="2" t="s">
        <v>2265</v>
      </c>
      <c r="C3441" s="2" t="s">
        <v>7</v>
      </c>
      <c r="D3441" s="2" t="str">
        <f>"9781452247762"</f>
        <v>9781452247762</v>
      </c>
      <c r="E3441" s="2">
        <v>997131</v>
      </c>
    </row>
    <row r="3442" spans="1:5" x14ac:dyDescent="0.25">
      <c r="A3442" s="4">
        <v>41913.329270833332</v>
      </c>
      <c r="B3442" s="2" t="s">
        <v>3546</v>
      </c>
      <c r="C3442" s="2" t="s">
        <v>63</v>
      </c>
      <c r="D3442" s="2" t="str">
        <f>"9781400837496"</f>
        <v>9781400837496</v>
      </c>
      <c r="E3442" s="2">
        <v>646762</v>
      </c>
    </row>
    <row r="3443" spans="1:5" x14ac:dyDescent="0.25">
      <c r="A3443" s="4">
        <v>41976.556261574071</v>
      </c>
      <c r="B3443" s="2" t="s">
        <v>2684</v>
      </c>
      <c r="C3443" s="2" t="s">
        <v>26</v>
      </c>
      <c r="D3443" s="2" t="str">
        <f>"9781444317503"</f>
        <v>9781444317503</v>
      </c>
      <c r="E3443" s="2">
        <v>470640</v>
      </c>
    </row>
    <row r="3444" spans="1:5" x14ac:dyDescent="0.25">
      <c r="A3444" s="4">
        <v>41994.885000000002</v>
      </c>
      <c r="B3444" s="2" t="s">
        <v>2089</v>
      </c>
      <c r="C3444" s="2" t="s">
        <v>18</v>
      </c>
      <c r="D3444" s="2" t="str">
        <f>"9781441163417"</f>
        <v>9781441163417</v>
      </c>
      <c r="E3444" s="2">
        <v>742590</v>
      </c>
    </row>
    <row r="3445" spans="1:5" x14ac:dyDescent="0.25">
      <c r="A3445" s="4">
        <v>41898.53056712963</v>
      </c>
      <c r="B3445" s="2" t="s">
        <v>3864</v>
      </c>
      <c r="C3445" s="2" t="s">
        <v>63</v>
      </c>
      <c r="D3445" s="2" t="str">
        <f>"9781400850365"</f>
        <v>9781400850365</v>
      </c>
      <c r="E3445" s="2">
        <v>1584942</v>
      </c>
    </row>
    <row r="3446" spans="1:5" x14ac:dyDescent="0.25">
      <c r="A3446" s="4">
        <v>41994.90824074074</v>
      </c>
      <c r="B3446" s="2" t="s">
        <v>156</v>
      </c>
      <c r="C3446" s="2" t="s">
        <v>26</v>
      </c>
      <c r="D3446" s="2" t="str">
        <f>"9781118106631"</f>
        <v>9781118106631</v>
      </c>
      <c r="E3446" s="2">
        <v>1143521</v>
      </c>
    </row>
    <row r="3447" spans="1:5" x14ac:dyDescent="0.25">
      <c r="A3447" s="4">
        <v>41994.901956018519</v>
      </c>
      <c r="B3447" s="2" t="s">
        <v>857</v>
      </c>
      <c r="C3447" s="2" t="s">
        <v>119</v>
      </c>
      <c r="D3447" s="2" t="str">
        <f>"9780520950146"</f>
        <v>9780520950146</v>
      </c>
      <c r="E3447" s="2">
        <v>730032</v>
      </c>
    </row>
    <row r="3448" spans="1:5" x14ac:dyDescent="0.25">
      <c r="A3448" s="4">
        <v>41994.901909722219</v>
      </c>
      <c r="B3448" s="2" t="s">
        <v>1003</v>
      </c>
      <c r="C3448" s="2" t="s">
        <v>119</v>
      </c>
      <c r="D3448" s="2" t="str">
        <f>"9780520936416"</f>
        <v>9780520936416</v>
      </c>
      <c r="E3448" s="2">
        <v>224236</v>
      </c>
    </row>
    <row r="3449" spans="1:5" x14ac:dyDescent="0.25">
      <c r="A3449" s="4">
        <v>41899.729583333334</v>
      </c>
      <c r="B3449" s="2" t="s">
        <v>3852</v>
      </c>
      <c r="C3449" s="2" t="s">
        <v>36</v>
      </c>
      <c r="D3449" s="2" t="str">
        <f>"9780786490578"</f>
        <v>9780786490578</v>
      </c>
      <c r="E3449" s="2">
        <v>1034992</v>
      </c>
    </row>
    <row r="3450" spans="1:5" x14ac:dyDescent="0.25">
      <c r="A3450" s="4">
        <v>43165.671157407407</v>
      </c>
      <c r="B3450" s="2" t="s">
        <v>81</v>
      </c>
      <c r="C3450" s="2" t="s">
        <v>36</v>
      </c>
      <c r="D3450" s="2" t="str">
        <f>"9781476624211"</f>
        <v>9781476624211</v>
      </c>
      <c r="E3450" s="2">
        <v>4462418</v>
      </c>
    </row>
    <row r="3451" spans="1:5" x14ac:dyDescent="0.25">
      <c r="A3451" s="4">
        <v>41994.899097222224</v>
      </c>
      <c r="B3451" s="2" t="s">
        <v>1241</v>
      </c>
      <c r="C3451" s="2" t="s">
        <v>63</v>
      </c>
      <c r="D3451" s="2" t="str">
        <f>"9781400842629"</f>
        <v>9781400842629</v>
      </c>
      <c r="E3451" s="2">
        <v>864790</v>
      </c>
    </row>
    <row r="3452" spans="1:5" x14ac:dyDescent="0.25">
      <c r="A3452" s="4">
        <v>41935.846666666665</v>
      </c>
      <c r="B3452" s="2" t="s">
        <v>3012</v>
      </c>
      <c r="C3452" s="2" t="s">
        <v>74</v>
      </c>
      <c r="D3452" s="2" t="str">
        <f>"9780567443489"</f>
        <v>9780567443489</v>
      </c>
      <c r="E3452" s="2">
        <v>592432</v>
      </c>
    </row>
    <row r="3453" spans="1:5" x14ac:dyDescent="0.25">
      <c r="A3453" s="4">
        <v>41980.032118055555</v>
      </c>
      <c r="B3453" s="2" t="s">
        <v>2523</v>
      </c>
      <c r="C3453" s="2" t="s">
        <v>119</v>
      </c>
      <c r="D3453" s="2" t="str">
        <f>"9780520908925"</f>
        <v>9780520908925</v>
      </c>
      <c r="E3453" s="2">
        <v>223349</v>
      </c>
    </row>
    <row r="3454" spans="1:5" x14ac:dyDescent="0.25">
      <c r="A3454" s="4">
        <v>41976.300740740742</v>
      </c>
      <c r="B3454" s="2" t="s">
        <v>2724</v>
      </c>
      <c r="C3454" s="2" t="s">
        <v>63</v>
      </c>
      <c r="D3454" s="2" t="str">
        <f>"9781400845927"</f>
        <v>9781400845927</v>
      </c>
      <c r="E3454" s="2">
        <v>1062356</v>
      </c>
    </row>
    <row r="3455" spans="1:5" x14ac:dyDescent="0.25">
      <c r="A3455" s="4">
        <v>41994.905624999999</v>
      </c>
      <c r="B3455" s="2" t="s">
        <v>452</v>
      </c>
      <c r="C3455" s="2" t="s">
        <v>96</v>
      </c>
      <c r="D3455" s="2" t="str">
        <f>"9781469616773"</f>
        <v>9781469616773</v>
      </c>
      <c r="E3455" s="2">
        <v>1663498</v>
      </c>
    </row>
    <row r="3456" spans="1:5" x14ac:dyDescent="0.25">
      <c r="A3456" s="4">
        <v>41994.905624999999</v>
      </c>
      <c r="B3456" s="2" t="s">
        <v>457</v>
      </c>
      <c r="C3456" s="2" t="s">
        <v>96</v>
      </c>
      <c r="D3456" s="2" t="str">
        <f>"9781469616759"</f>
        <v>9781469616759</v>
      </c>
      <c r="E3456" s="2">
        <v>1663485</v>
      </c>
    </row>
    <row r="3457" spans="1:5" x14ac:dyDescent="0.25">
      <c r="A3457" s="4">
        <v>41994.905624999999</v>
      </c>
      <c r="B3457" s="2" t="s">
        <v>456</v>
      </c>
      <c r="C3457" s="2" t="s">
        <v>96</v>
      </c>
      <c r="D3457" s="2" t="str">
        <f>"9781469616674"</f>
        <v>9781469616674</v>
      </c>
      <c r="E3457" s="2">
        <v>1663486</v>
      </c>
    </row>
    <row r="3458" spans="1:5" x14ac:dyDescent="0.25">
      <c r="A3458" s="4">
        <v>41994.905624999999</v>
      </c>
      <c r="B3458" s="2" t="s">
        <v>454</v>
      </c>
      <c r="C3458" s="2" t="s">
        <v>96</v>
      </c>
      <c r="D3458" s="2" t="str">
        <f>"9781469616735"</f>
        <v>9781469616735</v>
      </c>
      <c r="E3458" s="2">
        <v>1663488</v>
      </c>
    </row>
    <row r="3459" spans="1:5" x14ac:dyDescent="0.25">
      <c r="A3459" s="4">
        <v>41994.905624999999</v>
      </c>
      <c r="B3459" s="2" t="s">
        <v>453</v>
      </c>
      <c r="C3459" s="2" t="s">
        <v>96</v>
      </c>
      <c r="D3459" s="2" t="str">
        <f>"9781469616780"</f>
        <v>9781469616780</v>
      </c>
      <c r="E3459" s="2">
        <v>1663489</v>
      </c>
    </row>
    <row r="3460" spans="1:5" x14ac:dyDescent="0.25">
      <c r="A3460" s="4">
        <v>41994.905590277776</v>
      </c>
      <c r="B3460" s="2" t="s">
        <v>551</v>
      </c>
      <c r="C3460" s="2" t="s">
        <v>96</v>
      </c>
      <c r="D3460" s="2" t="str">
        <f>"9780807869130"</f>
        <v>9780807869130</v>
      </c>
      <c r="E3460" s="2">
        <v>777021</v>
      </c>
    </row>
    <row r="3461" spans="1:5" x14ac:dyDescent="0.25">
      <c r="A3461" s="4">
        <v>41994.905613425923</v>
      </c>
      <c r="B3461" s="2" t="s">
        <v>509</v>
      </c>
      <c r="C3461" s="2" t="s">
        <v>96</v>
      </c>
      <c r="D3461" s="2" t="str">
        <f>"9780807869284"</f>
        <v>9780807869284</v>
      </c>
      <c r="E3461" s="2">
        <v>880473</v>
      </c>
    </row>
    <row r="3462" spans="1:5" x14ac:dyDescent="0.25">
      <c r="A3462" s="4">
        <v>41994.905601851853</v>
      </c>
      <c r="B3462" s="2" t="s">
        <v>526</v>
      </c>
      <c r="C3462" s="2" t="s">
        <v>96</v>
      </c>
      <c r="D3462" s="2" t="str">
        <f>"9780807877210"</f>
        <v>9780807877210</v>
      </c>
      <c r="E3462" s="2">
        <v>880005</v>
      </c>
    </row>
    <row r="3463" spans="1:5" x14ac:dyDescent="0.25">
      <c r="A3463" s="4">
        <v>41994.905601851853</v>
      </c>
      <c r="B3463" s="2" t="s">
        <v>528</v>
      </c>
      <c r="C3463" s="2" t="s">
        <v>96</v>
      </c>
      <c r="D3463" s="2" t="str">
        <f>"9780807882542"</f>
        <v>9780807882542</v>
      </c>
      <c r="E3463" s="2">
        <v>878302</v>
      </c>
    </row>
    <row r="3464" spans="1:5" x14ac:dyDescent="0.25">
      <c r="A3464" s="4">
        <v>41994.905624999999</v>
      </c>
      <c r="B3464" s="2" t="s">
        <v>462</v>
      </c>
      <c r="C3464" s="2" t="s">
        <v>96</v>
      </c>
      <c r="D3464" s="2" t="str">
        <f>"9781469616636"</f>
        <v>9781469616636</v>
      </c>
      <c r="E3464" s="2">
        <v>1663480</v>
      </c>
    </row>
    <row r="3465" spans="1:5" x14ac:dyDescent="0.25">
      <c r="A3465" s="4">
        <v>41994.905624999999</v>
      </c>
      <c r="B3465" s="2" t="s">
        <v>461</v>
      </c>
      <c r="C3465" s="2" t="s">
        <v>96</v>
      </c>
      <c r="D3465" s="2" t="str">
        <f>"9781469616599"</f>
        <v>9781469616599</v>
      </c>
      <c r="E3465" s="2">
        <v>1663481</v>
      </c>
    </row>
    <row r="3466" spans="1:5" x14ac:dyDescent="0.25">
      <c r="A3466" s="4">
        <v>41994.905624999999</v>
      </c>
      <c r="B3466" s="2" t="s">
        <v>460</v>
      </c>
      <c r="C3466" s="2" t="s">
        <v>96</v>
      </c>
      <c r="D3466" s="2" t="str">
        <f>"9781469616537"</f>
        <v>9781469616537</v>
      </c>
      <c r="E3466" s="2">
        <v>1663482</v>
      </c>
    </row>
    <row r="3467" spans="1:5" x14ac:dyDescent="0.25">
      <c r="A3467" s="4">
        <v>41994.905624999999</v>
      </c>
      <c r="B3467" s="2" t="s">
        <v>459</v>
      </c>
      <c r="C3467" s="2" t="s">
        <v>96</v>
      </c>
      <c r="D3467" s="2" t="str">
        <f>"9781469616612"</f>
        <v>9781469616612</v>
      </c>
      <c r="E3467" s="2">
        <v>1663483</v>
      </c>
    </row>
    <row r="3468" spans="1:5" x14ac:dyDescent="0.25">
      <c r="A3468" s="4">
        <v>41994.905624999999</v>
      </c>
      <c r="B3468" s="2" t="s">
        <v>458</v>
      </c>
      <c r="C3468" s="2" t="s">
        <v>96</v>
      </c>
      <c r="D3468" s="2" t="str">
        <f>"9781469616650"</f>
        <v>9781469616650</v>
      </c>
      <c r="E3468" s="2">
        <v>1663484</v>
      </c>
    </row>
    <row r="3469" spans="1:5" x14ac:dyDescent="0.25">
      <c r="A3469" s="4">
        <v>41994.88989583333</v>
      </c>
      <c r="B3469" s="2" t="s">
        <v>1865</v>
      </c>
      <c r="C3469" s="2" t="s">
        <v>72</v>
      </c>
      <c r="D3469" s="2" t="str">
        <f>"9780748647095"</f>
        <v>9780748647095</v>
      </c>
      <c r="E3469" s="2">
        <v>744021</v>
      </c>
    </row>
    <row r="3470" spans="1:5" x14ac:dyDescent="0.25">
      <c r="A3470" s="4">
        <v>41994.899108796293</v>
      </c>
      <c r="B3470" s="2" t="s">
        <v>1229</v>
      </c>
      <c r="C3470" s="2" t="s">
        <v>63</v>
      </c>
      <c r="D3470" s="2" t="str">
        <f>"9781400843138"</f>
        <v>9781400843138</v>
      </c>
      <c r="E3470" s="2">
        <v>887205</v>
      </c>
    </row>
    <row r="3471" spans="1:5" x14ac:dyDescent="0.25">
      <c r="A3471" s="4">
        <v>41976.635891203703</v>
      </c>
      <c r="B3471" s="2" t="s">
        <v>2658</v>
      </c>
      <c r="C3471" s="2" t="s">
        <v>26</v>
      </c>
      <c r="D3471" s="2" t="str">
        <f>"9780470973677"</f>
        <v>9780470973677</v>
      </c>
      <c r="E3471" s="2">
        <v>624748</v>
      </c>
    </row>
    <row r="3472" spans="1:5" x14ac:dyDescent="0.25">
      <c r="A3472" s="4">
        <v>41994.899131944447</v>
      </c>
      <c r="B3472" s="2" t="s">
        <v>1144</v>
      </c>
      <c r="C3472" s="2" t="s">
        <v>63</v>
      </c>
      <c r="D3472" s="2" t="str">
        <f>"9781400848317"</f>
        <v>9781400848317</v>
      </c>
      <c r="E3472" s="2">
        <v>1322600</v>
      </c>
    </row>
    <row r="3473" spans="1:5" x14ac:dyDescent="0.25">
      <c r="A3473" s="4">
        <v>41994.901979166665</v>
      </c>
      <c r="B3473" s="2" t="s">
        <v>773</v>
      </c>
      <c r="C3473" s="2" t="s">
        <v>119</v>
      </c>
      <c r="D3473" s="2" t="str">
        <f>"9780520953390"</f>
        <v>9780520953390</v>
      </c>
      <c r="E3473" s="2">
        <v>919284</v>
      </c>
    </row>
    <row r="3474" spans="1:5" x14ac:dyDescent="0.25">
      <c r="A3474" s="4">
        <v>41994.899074074077</v>
      </c>
      <c r="B3474" s="2" t="s">
        <v>1319</v>
      </c>
      <c r="C3474" s="2" t="s">
        <v>63</v>
      </c>
      <c r="D3474" s="2" t="str">
        <f>"9781400838516"</f>
        <v>9781400838516</v>
      </c>
      <c r="E3474" s="2">
        <v>664618</v>
      </c>
    </row>
    <row r="3475" spans="1:5" x14ac:dyDescent="0.25">
      <c r="A3475" s="4">
        <v>41994.902025462965</v>
      </c>
      <c r="B3475" s="2" t="s">
        <v>643</v>
      </c>
      <c r="C3475" s="2" t="s">
        <v>119</v>
      </c>
      <c r="D3475" s="2" t="str">
        <f>"9780520959989"</f>
        <v>9780520959989</v>
      </c>
      <c r="E3475" s="2">
        <v>1711026</v>
      </c>
    </row>
    <row r="3476" spans="1:5" x14ac:dyDescent="0.25">
      <c r="A3476" s="4">
        <v>41907.432118055556</v>
      </c>
      <c r="B3476" s="2" t="s">
        <v>3685</v>
      </c>
      <c r="C3476" s="2" t="s">
        <v>26</v>
      </c>
      <c r="D3476" s="2" t="str">
        <f>"9781118127049"</f>
        <v>9781118127049</v>
      </c>
      <c r="E3476" s="2">
        <v>817335</v>
      </c>
    </row>
    <row r="3477" spans="1:5" x14ac:dyDescent="0.25">
      <c r="A3477" s="4">
        <v>41994.908194444448</v>
      </c>
      <c r="B3477" s="2" t="s">
        <v>304</v>
      </c>
      <c r="C3477" s="2" t="s">
        <v>26</v>
      </c>
      <c r="D3477" s="2" t="str">
        <f>"9780470906545"</f>
        <v>9780470906545</v>
      </c>
      <c r="E3477" s="2">
        <v>624510</v>
      </c>
    </row>
    <row r="3478" spans="1:5" x14ac:dyDescent="0.25">
      <c r="A3478" s="4">
        <v>41890.558379629627</v>
      </c>
      <c r="B3478" s="2" t="s">
        <v>3898</v>
      </c>
      <c r="C3478" s="2" t="s">
        <v>26</v>
      </c>
      <c r="D3478" s="2" t="str">
        <f>"9780470619834"</f>
        <v>9780470619834</v>
      </c>
      <c r="E3478" s="2">
        <v>533975</v>
      </c>
    </row>
    <row r="3479" spans="1:5" x14ac:dyDescent="0.25">
      <c r="A3479" s="4">
        <v>41994.902002314811</v>
      </c>
      <c r="B3479" s="2" t="s">
        <v>702</v>
      </c>
      <c r="C3479" s="2" t="s">
        <v>119</v>
      </c>
      <c r="D3479" s="2" t="str">
        <f>"9780520956674"</f>
        <v>9780520956674</v>
      </c>
      <c r="E3479" s="2">
        <v>1249496</v>
      </c>
    </row>
    <row r="3480" spans="1:5" x14ac:dyDescent="0.25">
      <c r="A3480" s="4">
        <v>41982.977303240739</v>
      </c>
      <c r="B3480" s="2" t="s">
        <v>2419</v>
      </c>
      <c r="C3480" s="2" t="s">
        <v>7</v>
      </c>
      <c r="D3480" s="2" t="str">
        <f>"9781452253374"</f>
        <v>9781452253374</v>
      </c>
      <c r="E3480" s="2">
        <v>997234</v>
      </c>
    </row>
    <row r="3481" spans="1:5" x14ac:dyDescent="0.25">
      <c r="A3481" s="4">
        <v>41994.908171296294</v>
      </c>
      <c r="B3481" s="2" t="s">
        <v>366</v>
      </c>
      <c r="C3481" s="2" t="s">
        <v>26</v>
      </c>
      <c r="D3481" s="2" t="str">
        <f>"9780470692677"</f>
        <v>9780470692677</v>
      </c>
      <c r="E3481" s="2">
        <v>351577</v>
      </c>
    </row>
    <row r="3482" spans="1:5" x14ac:dyDescent="0.25">
      <c r="A3482" s="4">
        <v>41907.513437499998</v>
      </c>
      <c r="B3482" s="2" t="s">
        <v>3679</v>
      </c>
      <c r="C3482" s="2" t="s">
        <v>26</v>
      </c>
      <c r="D3482" s="2" t="str">
        <f>"9781119991717"</f>
        <v>9781119991717</v>
      </c>
      <c r="E3482" s="2">
        <v>624750</v>
      </c>
    </row>
    <row r="3483" spans="1:5" x14ac:dyDescent="0.25">
      <c r="A3483" s="4">
        <v>41994.899097222224</v>
      </c>
      <c r="B3483" s="2" t="s">
        <v>1260</v>
      </c>
      <c r="C3483" s="2" t="s">
        <v>63</v>
      </c>
      <c r="D3483" s="2" t="str">
        <f>"9781400841929"</f>
        <v>9781400841929</v>
      </c>
      <c r="E3483" s="2">
        <v>827801</v>
      </c>
    </row>
    <row r="3484" spans="1:5" x14ac:dyDescent="0.25">
      <c r="A3484" s="4">
        <v>41917.681331018517</v>
      </c>
      <c r="B3484" s="2" t="s">
        <v>3456</v>
      </c>
      <c r="C3484" s="2" t="s">
        <v>63</v>
      </c>
      <c r="D3484" s="2" t="str">
        <f>"9781400825752"</f>
        <v>9781400825752</v>
      </c>
      <c r="E3484" s="2">
        <v>457943</v>
      </c>
    </row>
    <row r="3485" spans="1:5" x14ac:dyDescent="0.25">
      <c r="A3485" s="4">
        <v>41980.546446759261</v>
      </c>
      <c r="B3485" s="2" t="s">
        <v>2512</v>
      </c>
      <c r="C3485" s="2" t="s">
        <v>26</v>
      </c>
      <c r="D3485" s="2" t="str">
        <f>"9780787973896"</f>
        <v>9780787973896</v>
      </c>
      <c r="E3485" s="2">
        <v>183695</v>
      </c>
    </row>
    <row r="3486" spans="1:5" x14ac:dyDescent="0.25">
      <c r="A3486" s="4">
        <v>41994.89912037037</v>
      </c>
      <c r="B3486" s="2" t="s">
        <v>1185</v>
      </c>
      <c r="C3486" s="2" t="s">
        <v>63</v>
      </c>
      <c r="D3486" s="2" t="str">
        <f>"9781400846672"</f>
        <v>9781400846672</v>
      </c>
      <c r="E3486" s="2">
        <v>1114875</v>
      </c>
    </row>
    <row r="3487" spans="1:5" x14ac:dyDescent="0.25">
      <c r="A3487" s="4">
        <v>41975.522951388892</v>
      </c>
      <c r="B3487" s="2" t="s">
        <v>2835</v>
      </c>
      <c r="C3487" s="2" t="s">
        <v>96</v>
      </c>
      <c r="D3487" s="2" t="str">
        <f>"9780807861363"</f>
        <v>9780807861363</v>
      </c>
      <c r="E3487" s="2">
        <v>880131</v>
      </c>
    </row>
    <row r="3488" spans="1:5" x14ac:dyDescent="0.25">
      <c r="A3488" s="4">
        <v>41981.110729166663</v>
      </c>
      <c r="B3488" s="2" t="s">
        <v>2483</v>
      </c>
      <c r="C3488" s="2" t="s">
        <v>63</v>
      </c>
      <c r="D3488" s="2" t="str">
        <f>"9781400851898"</f>
        <v>9781400851898</v>
      </c>
      <c r="E3488" s="2">
        <v>1708168</v>
      </c>
    </row>
    <row r="3489" spans="1:5" x14ac:dyDescent="0.25">
      <c r="A3489" s="4">
        <v>42124.645115740743</v>
      </c>
      <c r="B3489" s="2" t="s">
        <v>2236</v>
      </c>
      <c r="C3489" s="2" t="s">
        <v>96</v>
      </c>
      <c r="D3489" s="2" t="str">
        <f>"9780807888896"</f>
        <v>9780807888896</v>
      </c>
      <c r="E3489" s="2">
        <v>515688</v>
      </c>
    </row>
    <row r="3490" spans="1:5" x14ac:dyDescent="0.25">
      <c r="A3490" s="4">
        <v>41979.437777777777</v>
      </c>
      <c r="B3490" s="2" t="s">
        <v>2236</v>
      </c>
      <c r="C3490" s="2" t="s">
        <v>96</v>
      </c>
      <c r="D3490" s="2" t="str">
        <f>"9780807888896"</f>
        <v>9780807888896</v>
      </c>
      <c r="E3490" s="2">
        <v>515688</v>
      </c>
    </row>
    <row r="3491" spans="1:5" x14ac:dyDescent="0.25">
      <c r="A3491" s="4">
        <v>41994.901990740742</v>
      </c>
      <c r="B3491" s="2" t="s">
        <v>733</v>
      </c>
      <c r="C3491" s="2" t="s">
        <v>119</v>
      </c>
      <c r="D3491" s="2" t="str">
        <f>"9780520954717"</f>
        <v>9780520954717</v>
      </c>
      <c r="E3491" s="2">
        <v>1092958</v>
      </c>
    </row>
    <row r="3492" spans="1:5" x14ac:dyDescent="0.25">
      <c r="A3492" s="4">
        <v>41917.705069444448</v>
      </c>
      <c r="B3492" s="2" t="s">
        <v>3454</v>
      </c>
      <c r="C3492" s="2" t="s">
        <v>63</v>
      </c>
      <c r="D3492" s="2" t="str">
        <f>"9781400851218"</f>
        <v>9781400851218</v>
      </c>
      <c r="E3492" s="2">
        <v>1604277</v>
      </c>
    </row>
    <row r="3493" spans="1:5" x14ac:dyDescent="0.25">
      <c r="A3493" s="4">
        <v>41994.899085648147</v>
      </c>
      <c r="B3493" s="2" t="s">
        <v>1286</v>
      </c>
      <c r="C3493" s="2" t="s">
        <v>63</v>
      </c>
      <c r="D3493" s="2" t="str">
        <f>"9781400832156"</f>
        <v>9781400832156</v>
      </c>
      <c r="E3493" s="2">
        <v>736905</v>
      </c>
    </row>
    <row r="3494" spans="1:5" x14ac:dyDescent="0.25">
      <c r="A3494" s="4">
        <v>43230.448229166665</v>
      </c>
      <c r="B3494" s="2" t="s">
        <v>32</v>
      </c>
      <c r="C3494" s="2" t="s">
        <v>26</v>
      </c>
      <c r="D3494" s="2" t="str">
        <f>"9781119017677"</f>
        <v>9781119017677</v>
      </c>
      <c r="E3494" s="2">
        <v>1895922</v>
      </c>
    </row>
    <row r="3495" spans="1:5" x14ac:dyDescent="0.25">
      <c r="A3495" s="4">
        <v>41994.902002314811</v>
      </c>
      <c r="B3495" s="2" t="s">
        <v>725</v>
      </c>
      <c r="C3495" s="2" t="s">
        <v>119</v>
      </c>
      <c r="D3495" s="2" t="str">
        <f>"9780520954823"</f>
        <v>9780520954823</v>
      </c>
      <c r="E3495" s="2">
        <v>1114903</v>
      </c>
    </row>
    <row r="3496" spans="1:5" x14ac:dyDescent="0.25">
      <c r="A3496" s="4">
        <v>41994.901944444442</v>
      </c>
      <c r="B3496" s="2" t="s">
        <v>885</v>
      </c>
      <c r="C3496" s="2" t="s">
        <v>119</v>
      </c>
      <c r="D3496" s="2" t="str">
        <f>"9780520947511"</f>
        <v>9780520947511</v>
      </c>
      <c r="E3496" s="2">
        <v>656357</v>
      </c>
    </row>
    <row r="3497" spans="1:5" x14ac:dyDescent="0.25">
      <c r="A3497" s="4">
        <v>41975.623148148145</v>
      </c>
      <c r="B3497" s="2" t="s">
        <v>2816</v>
      </c>
      <c r="C3497" s="2" t="s">
        <v>63</v>
      </c>
      <c r="D3497" s="2" t="str">
        <f>"9781400840861"</f>
        <v>9781400840861</v>
      </c>
      <c r="E3497" s="2">
        <v>740297</v>
      </c>
    </row>
    <row r="3498" spans="1:5" x14ac:dyDescent="0.25">
      <c r="A3498" s="4">
        <v>41994.878750000003</v>
      </c>
      <c r="B3498" s="2" t="s">
        <v>2199</v>
      </c>
      <c r="C3498" s="2" t="s">
        <v>2170</v>
      </c>
      <c r="D3498" s="2" t="str">
        <f>"9781848139725"</f>
        <v>9781848139725</v>
      </c>
      <c r="E3498" s="2">
        <v>867038</v>
      </c>
    </row>
    <row r="3499" spans="1:5" x14ac:dyDescent="0.25">
      <c r="A3499" s="4">
        <v>41994.899097222224</v>
      </c>
      <c r="B3499" s="2" t="s">
        <v>1252</v>
      </c>
      <c r="C3499" s="2" t="s">
        <v>63</v>
      </c>
      <c r="D3499" s="2" t="str">
        <f>"9781400841851"</f>
        <v>9781400841851</v>
      </c>
      <c r="E3499" s="2">
        <v>842861</v>
      </c>
    </row>
    <row r="3500" spans="1:5" x14ac:dyDescent="0.25">
      <c r="A3500" s="4">
        <v>41913.639710648145</v>
      </c>
      <c r="B3500" s="2" t="s">
        <v>3537</v>
      </c>
      <c r="C3500" s="2" t="s">
        <v>63</v>
      </c>
      <c r="D3500" s="2" t="str">
        <f>"9781400848515"</f>
        <v>9781400848515</v>
      </c>
      <c r="E3500" s="2">
        <v>1275334</v>
      </c>
    </row>
    <row r="3501" spans="1:5" x14ac:dyDescent="0.25">
      <c r="A3501" s="4">
        <v>41994.901932870373</v>
      </c>
      <c r="B3501" s="2" t="s">
        <v>920</v>
      </c>
      <c r="C3501" s="2" t="s">
        <v>119</v>
      </c>
      <c r="D3501" s="2" t="str">
        <f>"9780520947825"</f>
        <v>9780520947825</v>
      </c>
      <c r="E3501" s="2">
        <v>566747</v>
      </c>
    </row>
    <row r="3502" spans="1:5" x14ac:dyDescent="0.25">
      <c r="A3502" s="4">
        <v>41994.902002314811</v>
      </c>
      <c r="B3502" s="2" t="s">
        <v>705</v>
      </c>
      <c r="C3502" s="2" t="s">
        <v>119</v>
      </c>
      <c r="D3502" s="2" t="str">
        <f>"9780520956544"</f>
        <v>9780520956544</v>
      </c>
      <c r="E3502" s="2">
        <v>1215499</v>
      </c>
    </row>
    <row r="3503" spans="1:5" x14ac:dyDescent="0.25">
      <c r="A3503" s="4">
        <v>41994.908182870371</v>
      </c>
      <c r="B3503" s="2" t="s">
        <v>343</v>
      </c>
      <c r="C3503" s="2" t="s">
        <v>26</v>
      </c>
      <c r="D3503" s="2" t="str">
        <f>"9780471481416"</f>
        <v>9780471481416</v>
      </c>
      <c r="E3503" s="2">
        <v>469211</v>
      </c>
    </row>
    <row r="3504" spans="1:5" x14ac:dyDescent="0.25">
      <c r="A3504" s="4">
        <v>41994.902002314811</v>
      </c>
      <c r="B3504" s="2" t="s">
        <v>711</v>
      </c>
      <c r="C3504" s="2" t="s">
        <v>119</v>
      </c>
      <c r="D3504" s="2" t="str">
        <f>"9780520955059"</f>
        <v>9780520955059</v>
      </c>
      <c r="E3504" s="2">
        <v>1165081</v>
      </c>
    </row>
    <row r="3505" spans="1:5" x14ac:dyDescent="0.25">
      <c r="A3505" s="4">
        <v>41994.885023148148</v>
      </c>
      <c r="B3505" s="2" t="s">
        <v>2056</v>
      </c>
      <c r="C3505" s="2" t="s">
        <v>18</v>
      </c>
      <c r="D3505" s="2" t="str">
        <f>"9781441115065"</f>
        <v>9781441115065</v>
      </c>
      <c r="E3505" s="2">
        <v>918763</v>
      </c>
    </row>
    <row r="3506" spans="1:5" x14ac:dyDescent="0.25">
      <c r="A3506" s="4">
        <v>41994.885023148148</v>
      </c>
      <c r="B3506" s="2" t="s">
        <v>2032</v>
      </c>
      <c r="C3506" s="2" t="s">
        <v>18</v>
      </c>
      <c r="D3506" s="2" t="str">
        <f>"9781441162786"</f>
        <v>9781441162786</v>
      </c>
      <c r="E3506" s="2">
        <v>1158299</v>
      </c>
    </row>
    <row r="3507" spans="1:5" x14ac:dyDescent="0.25">
      <c r="A3507" s="4">
        <v>41922.815115740741</v>
      </c>
      <c r="B3507" s="2" t="s">
        <v>3312</v>
      </c>
      <c r="C3507" s="2" t="s">
        <v>119</v>
      </c>
      <c r="D3507" s="2" t="str">
        <f>"9780520951976"</f>
        <v>9780520951976</v>
      </c>
      <c r="E3507" s="2">
        <v>816156</v>
      </c>
    </row>
    <row r="3508" spans="1:5" x14ac:dyDescent="0.25">
      <c r="A3508" s="4">
        <v>41994.901967592596</v>
      </c>
      <c r="B3508" s="2" t="s">
        <v>809</v>
      </c>
      <c r="C3508" s="2" t="s">
        <v>119</v>
      </c>
      <c r="D3508" s="2" t="str">
        <f>"9780520945388"</f>
        <v>9780520945388</v>
      </c>
      <c r="E3508" s="2">
        <v>837332</v>
      </c>
    </row>
    <row r="3509" spans="1:5" x14ac:dyDescent="0.25">
      <c r="A3509" s="4">
        <v>41994.89912037037</v>
      </c>
      <c r="B3509" s="2" t="s">
        <v>1199</v>
      </c>
      <c r="C3509" s="2" t="s">
        <v>63</v>
      </c>
      <c r="D3509" s="2" t="str">
        <f>"9781400846689"</f>
        <v>9781400846689</v>
      </c>
      <c r="E3509" s="2">
        <v>1084825</v>
      </c>
    </row>
    <row r="3510" spans="1:5" x14ac:dyDescent="0.25">
      <c r="A3510" s="4">
        <v>41994.899050925924</v>
      </c>
      <c r="B3510" s="2" t="s">
        <v>1406</v>
      </c>
      <c r="C3510" s="2" t="s">
        <v>63</v>
      </c>
      <c r="D3510" s="2" t="str">
        <f>"9781400825073"</f>
        <v>9781400825073</v>
      </c>
      <c r="E3510" s="2">
        <v>457888</v>
      </c>
    </row>
    <row r="3511" spans="1:5" x14ac:dyDescent="0.25">
      <c r="A3511" s="4">
        <v>41994.899085648147</v>
      </c>
      <c r="B3511" s="2" t="s">
        <v>1291</v>
      </c>
      <c r="C3511" s="2" t="s">
        <v>63</v>
      </c>
      <c r="D3511" s="2" t="str">
        <f>"9781400837922"</f>
        <v>9781400837922</v>
      </c>
      <c r="E3511" s="2">
        <v>729949</v>
      </c>
    </row>
    <row r="3512" spans="1:5" x14ac:dyDescent="0.25">
      <c r="A3512" s="4">
        <v>41994.899085648147</v>
      </c>
      <c r="B3512" s="2" t="s">
        <v>1305</v>
      </c>
      <c r="C3512" s="2" t="s">
        <v>63</v>
      </c>
      <c r="D3512" s="2" t="str">
        <f>"9781400838585"</f>
        <v>9781400838585</v>
      </c>
      <c r="E3512" s="2">
        <v>686419</v>
      </c>
    </row>
    <row r="3513" spans="1:5" x14ac:dyDescent="0.25">
      <c r="A3513" s="4">
        <v>41994.89912037037</v>
      </c>
      <c r="B3513" s="2" t="s">
        <v>1165</v>
      </c>
      <c r="C3513" s="2" t="s">
        <v>63</v>
      </c>
      <c r="D3513" s="2" t="str">
        <f>"9781400847631"</f>
        <v>9781400847631</v>
      </c>
      <c r="E3513" s="2">
        <v>1165329</v>
      </c>
    </row>
    <row r="3514" spans="1:5" x14ac:dyDescent="0.25">
      <c r="A3514" s="4">
        <v>41994.89912037037</v>
      </c>
      <c r="B3514" s="2" t="s">
        <v>1157</v>
      </c>
      <c r="C3514" s="2" t="s">
        <v>63</v>
      </c>
      <c r="D3514" s="2" t="str">
        <f>"9781400848157"</f>
        <v>9781400848157</v>
      </c>
      <c r="E3514" s="2">
        <v>1205611</v>
      </c>
    </row>
    <row r="3515" spans="1:5" x14ac:dyDescent="0.25">
      <c r="A3515" s="4">
        <v>41994.89912037037</v>
      </c>
      <c r="B3515" s="2" t="s">
        <v>1164</v>
      </c>
      <c r="C3515" s="2" t="s">
        <v>63</v>
      </c>
      <c r="D3515" s="2" t="str">
        <f>"9781400847624"</f>
        <v>9781400847624</v>
      </c>
      <c r="E3515" s="2">
        <v>1165330</v>
      </c>
    </row>
    <row r="3516" spans="1:5" x14ac:dyDescent="0.25">
      <c r="A3516" s="4">
        <v>41916.76358796296</v>
      </c>
      <c r="B3516" s="2" t="s">
        <v>3472</v>
      </c>
      <c r="C3516" s="2" t="s">
        <v>119</v>
      </c>
      <c r="D3516" s="2" t="str">
        <f>"9780520928152"</f>
        <v>9780520928152</v>
      </c>
      <c r="E3516" s="2">
        <v>223044</v>
      </c>
    </row>
    <row r="3517" spans="1:5" x14ac:dyDescent="0.25">
      <c r="A3517" s="4">
        <v>41994.901979166665</v>
      </c>
      <c r="B3517" s="2" t="s">
        <v>783</v>
      </c>
      <c r="C3517" s="2" t="s">
        <v>119</v>
      </c>
      <c r="D3517" s="2" t="str">
        <f>"9780520951501"</f>
        <v>9780520951501</v>
      </c>
      <c r="E3517" s="2">
        <v>881933</v>
      </c>
    </row>
    <row r="3518" spans="1:5" x14ac:dyDescent="0.25">
      <c r="A3518" s="4">
        <v>41883.847997685189</v>
      </c>
      <c r="B3518" s="2" t="s">
        <v>3916</v>
      </c>
      <c r="C3518" s="2" t="s">
        <v>7</v>
      </c>
      <c r="D3518" s="2" t="str">
        <f>"9781446204948"</f>
        <v>9781446204948</v>
      </c>
      <c r="E3518" s="2">
        <v>743695</v>
      </c>
    </row>
    <row r="3519" spans="1:5" x14ac:dyDescent="0.25">
      <c r="A3519" s="4">
        <v>41910.660393518519</v>
      </c>
      <c r="B3519" s="2" t="s">
        <v>3619</v>
      </c>
      <c r="C3519" s="2" t="s">
        <v>119</v>
      </c>
      <c r="D3519" s="2" t="str">
        <f>"9780520936997"</f>
        <v>9780520936997</v>
      </c>
      <c r="E3519" s="2">
        <v>224194</v>
      </c>
    </row>
    <row r="3520" spans="1:5" x14ac:dyDescent="0.25">
      <c r="A3520" s="4">
        <v>41976.921701388892</v>
      </c>
      <c r="B3520" s="2" t="s">
        <v>2628</v>
      </c>
      <c r="C3520" s="2" t="s">
        <v>119</v>
      </c>
      <c r="D3520" s="2" t="str">
        <f>"9780520959484"</f>
        <v>9780520959484</v>
      </c>
      <c r="E3520" s="2">
        <v>1711015</v>
      </c>
    </row>
    <row r="3521" spans="1:5" x14ac:dyDescent="0.25">
      <c r="A3521" s="4">
        <v>41976.11546296296</v>
      </c>
      <c r="B3521" s="2" t="s">
        <v>2728</v>
      </c>
      <c r="C3521" s="2" t="s">
        <v>119</v>
      </c>
      <c r="D3521" s="2" t="str">
        <f>"9780520924314"</f>
        <v>9780520924314</v>
      </c>
      <c r="E3521" s="2">
        <v>223306</v>
      </c>
    </row>
    <row r="3522" spans="1:5" x14ac:dyDescent="0.25">
      <c r="A3522" s="4">
        <v>41994.901932870373</v>
      </c>
      <c r="B3522" s="2" t="s">
        <v>933</v>
      </c>
      <c r="C3522" s="2" t="s">
        <v>119</v>
      </c>
      <c r="D3522" s="2" t="str">
        <f>"9780520934153"</f>
        <v>9780520934153</v>
      </c>
      <c r="E3522" s="2">
        <v>471003</v>
      </c>
    </row>
    <row r="3523" spans="1:5" x14ac:dyDescent="0.25">
      <c r="A3523" s="4">
        <v>41929.586944444447</v>
      </c>
      <c r="B3523" s="2" t="s">
        <v>3170</v>
      </c>
      <c r="C3523" s="2" t="s">
        <v>63</v>
      </c>
      <c r="D3523" s="2" t="str">
        <f>"9781400837687"</f>
        <v>9781400837687</v>
      </c>
      <c r="E3523" s="2">
        <v>664570</v>
      </c>
    </row>
    <row r="3524" spans="1:5" x14ac:dyDescent="0.25">
      <c r="A3524" s="4">
        <v>41994.899050925924</v>
      </c>
      <c r="B3524" s="2" t="s">
        <v>1393</v>
      </c>
      <c r="C3524" s="2" t="s">
        <v>63</v>
      </c>
      <c r="D3524" s="2" t="str">
        <f>"9781400832057"</f>
        <v>9781400832057</v>
      </c>
      <c r="E3524" s="2">
        <v>483498</v>
      </c>
    </row>
    <row r="3525" spans="1:5" x14ac:dyDescent="0.25">
      <c r="A3525" s="4">
        <v>41994.899050925924</v>
      </c>
      <c r="B3525" s="2" t="s">
        <v>1404</v>
      </c>
      <c r="C3525" s="2" t="s">
        <v>63</v>
      </c>
      <c r="D3525" s="2" t="str">
        <f>"9781400827893"</f>
        <v>9781400827893</v>
      </c>
      <c r="E3525" s="2">
        <v>457906</v>
      </c>
    </row>
    <row r="3526" spans="1:5" x14ac:dyDescent="0.25">
      <c r="A3526" s="4">
        <v>41977.471365740741</v>
      </c>
      <c r="B3526" s="2" t="s">
        <v>2612</v>
      </c>
      <c r="C3526" s="2" t="s">
        <v>63</v>
      </c>
      <c r="D3526" s="2" t="str">
        <f>"9781400831241"</f>
        <v>9781400831241</v>
      </c>
      <c r="E3526" s="2">
        <v>537721</v>
      </c>
    </row>
    <row r="3527" spans="1:5" x14ac:dyDescent="0.25">
      <c r="A3527" s="4">
        <v>41994.899074074077</v>
      </c>
      <c r="B3527" s="2" t="s">
        <v>1338</v>
      </c>
      <c r="C3527" s="2" t="s">
        <v>63</v>
      </c>
      <c r="D3527" s="2" t="str">
        <f>"9781400833160"</f>
        <v>9781400833160</v>
      </c>
      <c r="E3527" s="2">
        <v>646768</v>
      </c>
    </row>
    <row r="3528" spans="1:5" x14ac:dyDescent="0.25">
      <c r="A3528" s="4">
        <v>41987.752314814818</v>
      </c>
      <c r="B3528" s="2" t="s">
        <v>2310</v>
      </c>
      <c r="C3528" s="2" t="s">
        <v>26</v>
      </c>
      <c r="D3528" s="2" t="str">
        <f>"9780471473435"</f>
        <v>9780471473435</v>
      </c>
      <c r="E3528" s="2">
        <v>183656</v>
      </c>
    </row>
    <row r="3529" spans="1:5" x14ac:dyDescent="0.25">
      <c r="A3529" s="4">
        <v>41994.892939814818</v>
      </c>
      <c r="B3529" s="2" t="s">
        <v>1639</v>
      </c>
      <c r="C3529" s="2" t="s">
        <v>16</v>
      </c>
      <c r="D3529" s="2" t="str">
        <f>"9781462513406"</f>
        <v>9781462513406</v>
      </c>
      <c r="E3529" s="2">
        <v>1595953</v>
      </c>
    </row>
    <row r="3530" spans="1:5" x14ac:dyDescent="0.25">
      <c r="A3530" s="4">
        <v>41978.64303240741</v>
      </c>
      <c r="B3530" s="2" t="s">
        <v>2563</v>
      </c>
      <c r="C3530" s="2" t="s">
        <v>72</v>
      </c>
      <c r="D3530" s="2" t="str">
        <f>"9780748656233"</f>
        <v>9780748656233</v>
      </c>
      <c r="E3530" s="2">
        <v>932475</v>
      </c>
    </row>
    <row r="3531" spans="1:5" x14ac:dyDescent="0.25">
      <c r="A3531" s="4">
        <v>41994.899131944447</v>
      </c>
      <c r="B3531" s="2" t="s">
        <v>1136</v>
      </c>
      <c r="C3531" s="2" t="s">
        <v>63</v>
      </c>
      <c r="D3531" s="2" t="str">
        <f>"9781400848843"</f>
        <v>9781400848843</v>
      </c>
      <c r="E3531" s="2">
        <v>1341878</v>
      </c>
    </row>
    <row r="3532" spans="1:5" x14ac:dyDescent="0.25">
      <c r="A3532" s="4">
        <v>41994.901979166665</v>
      </c>
      <c r="B3532" s="2" t="s">
        <v>770</v>
      </c>
      <c r="C3532" s="2" t="s">
        <v>119</v>
      </c>
      <c r="D3532" s="2" t="str">
        <f>"9780520934214"</f>
        <v>9780520934214</v>
      </c>
      <c r="E3532" s="2">
        <v>922898</v>
      </c>
    </row>
    <row r="3533" spans="1:5" x14ac:dyDescent="0.25">
      <c r="A3533" s="4">
        <v>42152.580914351849</v>
      </c>
      <c r="B3533" s="2" t="s">
        <v>2234</v>
      </c>
      <c r="C3533" s="2" t="s">
        <v>119</v>
      </c>
      <c r="D3533" s="2" t="str">
        <f>"9780520950665"</f>
        <v>9780520950665</v>
      </c>
      <c r="E3533" s="2">
        <v>922939</v>
      </c>
    </row>
    <row r="3534" spans="1:5" x14ac:dyDescent="0.25">
      <c r="A3534" s="4">
        <v>41822.760636574072</v>
      </c>
      <c r="B3534" s="2" t="s">
        <v>2234</v>
      </c>
      <c r="C3534" s="2" t="s">
        <v>119</v>
      </c>
      <c r="D3534" s="2" t="str">
        <f>"9780520950665"</f>
        <v>9780520950665</v>
      </c>
      <c r="E3534" s="2">
        <v>922939</v>
      </c>
    </row>
    <row r="3535" spans="1:5" x14ac:dyDescent="0.25">
      <c r="A3535" s="4">
        <v>41994.908159722225</v>
      </c>
      <c r="B3535" s="2" t="s">
        <v>390</v>
      </c>
      <c r="C3535" s="2" t="s">
        <v>26</v>
      </c>
      <c r="D3535" s="2" t="str">
        <f>"9780787988531"</f>
        <v>9780787988531</v>
      </c>
      <c r="E3535" s="2">
        <v>284382</v>
      </c>
    </row>
    <row r="3536" spans="1:5" x14ac:dyDescent="0.25">
      <c r="A3536" s="4">
        <v>41994.899131944447</v>
      </c>
      <c r="B3536" s="2" t="s">
        <v>1154</v>
      </c>
      <c r="C3536" s="2" t="s">
        <v>63</v>
      </c>
      <c r="D3536" s="2" t="str">
        <f>"9781400848607"</f>
        <v>9781400848607</v>
      </c>
      <c r="E3536" s="2">
        <v>1205617</v>
      </c>
    </row>
    <row r="3537" spans="1:5" x14ac:dyDescent="0.25">
      <c r="A3537" s="4">
        <v>42878.550625000003</v>
      </c>
      <c r="B3537" s="2" t="s">
        <v>147</v>
      </c>
      <c r="C3537" s="2" t="s">
        <v>119</v>
      </c>
      <c r="D3537" s="2" t="str">
        <f>"9780520293144"</f>
        <v>9780520293144</v>
      </c>
      <c r="E3537" s="2">
        <v>4456472</v>
      </c>
    </row>
    <row r="3538" spans="1:5" x14ac:dyDescent="0.25">
      <c r="A3538" s="4">
        <v>41983.927025462966</v>
      </c>
      <c r="B3538" s="2" t="s">
        <v>2383</v>
      </c>
      <c r="C3538" s="2" t="s">
        <v>16</v>
      </c>
      <c r="D3538" s="2" t="str">
        <f>"9781606234792"</f>
        <v>9781606234792</v>
      </c>
      <c r="E3538" s="2">
        <v>465650</v>
      </c>
    </row>
    <row r="3539" spans="1:5" x14ac:dyDescent="0.25">
      <c r="A3539" s="4">
        <v>41979.568807870368</v>
      </c>
      <c r="B3539" s="2" t="s">
        <v>2541</v>
      </c>
      <c r="C3539" s="2" t="s">
        <v>26</v>
      </c>
      <c r="D3539" s="2" t="str">
        <f>"9780470183038"</f>
        <v>9780470183038</v>
      </c>
      <c r="E3539" s="2">
        <v>875951</v>
      </c>
    </row>
    <row r="3540" spans="1:5" x14ac:dyDescent="0.25">
      <c r="A3540" s="4">
        <v>41805.883368055554</v>
      </c>
      <c r="B3540" s="2" t="s">
        <v>2541</v>
      </c>
      <c r="C3540" s="2" t="s">
        <v>26</v>
      </c>
      <c r="D3540" s="2" t="str">
        <f>"9780470183038"</f>
        <v>9780470183038</v>
      </c>
      <c r="E3540" s="2">
        <v>875951</v>
      </c>
    </row>
    <row r="3541" spans="1:5" x14ac:dyDescent="0.25">
      <c r="A3541" s="4">
        <v>41994.885023148148</v>
      </c>
      <c r="B3541" s="2" t="s">
        <v>2047</v>
      </c>
      <c r="C3541" s="2" t="s">
        <v>74</v>
      </c>
      <c r="D3541" s="2" t="str">
        <f>"9781441174840"</f>
        <v>9781441174840</v>
      </c>
      <c r="E3541" s="2">
        <v>1014744</v>
      </c>
    </row>
    <row r="3542" spans="1:5" x14ac:dyDescent="0.25">
      <c r="A3542" s="4">
        <v>41994.892905092594</v>
      </c>
      <c r="B3542" s="2" t="s">
        <v>1750</v>
      </c>
      <c r="C3542" s="2" t="s">
        <v>16</v>
      </c>
      <c r="D3542" s="2" t="str">
        <f>"9781606235645"</f>
        <v>9781606235645</v>
      </c>
      <c r="E3542" s="2">
        <v>479600</v>
      </c>
    </row>
    <row r="3543" spans="1:5" x14ac:dyDescent="0.25">
      <c r="A3543" s="4">
        <v>41907.751956018517</v>
      </c>
      <c r="B3543" s="2" t="s">
        <v>3668</v>
      </c>
      <c r="C3543" s="2" t="s">
        <v>36</v>
      </c>
      <c r="D3543" s="2" t="str">
        <f>"9780786454860"</f>
        <v>9780786454860</v>
      </c>
      <c r="E3543" s="2">
        <v>1593676</v>
      </c>
    </row>
    <row r="3544" spans="1:5" x14ac:dyDescent="0.25">
      <c r="A3544" s="4">
        <v>41975.46193287037</v>
      </c>
      <c r="B3544" s="2" t="s">
        <v>2847</v>
      </c>
      <c r="C3544" s="2" t="s">
        <v>7</v>
      </c>
      <c r="D3544" s="2" t="str">
        <f>"9781452262741"</f>
        <v>9781452262741</v>
      </c>
      <c r="E3544" s="2">
        <v>996641</v>
      </c>
    </row>
    <row r="3545" spans="1:5" x14ac:dyDescent="0.25">
      <c r="A3545" s="4">
        <v>41977.57644675926</v>
      </c>
      <c r="B3545" s="2" t="s">
        <v>2608</v>
      </c>
      <c r="C3545" s="2" t="s">
        <v>26</v>
      </c>
      <c r="D3545" s="2" t="str">
        <f>"9781444358377"</f>
        <v>9781444358377</v>
      </c>
      <c r="E3545" s="2">
        <v>485684</v>
      </c>
    </row>
    <row r="3546" spans="1:5" x14ac:dyDescent="0.25">
      <c r="A3546" s="4">
        <v>41994.892893518518</v>
      </c>
      <c r="B3546" s="2" t="s">
        <v>1788</v>
      </c>
      <c r="C3546" s="2" t="s">
        <v>16</v>
      </c>
      <c r="D3546" s="2" t="str">
        <f>"9781593855611"</f>
        <v>9781593855611</v>
      </c>
      <c r="E3546" s="2">
        <v>306782</v>
      </c>
    </row>
    <row r="3547" spans="1:5" x14ac:dyDescent="0.25">
      <c r="A3547" s="4">
        <v>41994.892905092594</v>
      </c>
      <c r="B3547" s="2" t="s">
        <v>1755</v>
      </c>
      <c r="C3547" s="2" t="s">
        <v>16</v>
      </c>
      <c r="D3547" s="2" t="str">
        <f>"9781606231029"</f>
        <v>9781606231029</v>
      </c>
      <c r="E3547" s="2">
        <v>465662</v>
      </c>
    </row>
    <row r="3548" spans="1:5" x14ac:dyDescent="0.25">
      <c r="A3548" s="4">
        <v>41994.892928240741</v>
      </c>
      <c r="B3548" s="2" t="s">
        <v>1679</v>
      </c>
      <c r="C3548" s="2" t="s">
        <v>16</v>
      </c>
      <c r="D3548" s="2" t="str">
        <f>"9781462507139"</f>
        <v>9781462507139</v>
      </c>
      <c r="E3548" s="2">
        <v>1010621</v>
      </c>
    </row>
    <row r="3549" spans="1:5" x14ac:dyDescent="0.25">
      <c r="A3549" s="4">
        <v>41994.892905092594</v>
      </c>
      <c r="B3549" s="2" t="s">
        <v>1764</v>
      </c>
      <c r="C3549" s="2" t="s">
        <v>16</v>
      </c>
      <c r="D3549" s="2" t="str">
        <f>"9781606233047"</f>
        <v>9781606233047</v>
      </c>
      <c r="E3549" s="2">
        <v>454790</v>
      </c>
    </row>
    <row r="3550" spans="1:5" x14ac:dyDescent="0.25">
      <c r="A3550" s="4">
        <v>41994.892893518518</v>
      </c>
      <c r="B3550" s="2" t="s">
        <v>1783</v>
      </c>
      <c r="C3550" s="2" t="s">
        <v>16</v>
      </c>
      <c r="D3550" s="2" t="str">
        <f>"9781593859459"</f>
        <v>9781593859459</v>
      </c>
      <c r="E3550" s="2">
        <v>330587</v>
      </c>
    </row>
    <row r="3551" spans="1:5" x14ac:dyDescent="0.25">
      <c r="A3551" s="4">
        <v>41975.828912037039</v>
      </c>
      <c r="B3551" s="2" t="s">
        <v>2776</v>
      </c>
      <c r="C3551" s="2" t="s">
        <v>26</v>
      </c>
      <c r="D3551" s="2" t="str">
        <f>"9780470012017"</f>
        <v>9780470012017</v>
      </c>
      <c r="E3551" s="2">
        <v>232670</v>
      </c>
    </row>
    <row r="3552" spans="1:5" x14ac:dyDescent="0.25">
      <c r="A3552" s="4">
        <v>41994.908182870371</v>
      </c>
      <c r="B3552" s="2" t="s">
        <v>341</v>
      </c>
      <c r="C3552" s="2" t="s">
        <v>26</v>
      </c>
      <c r="D3552" s="2" t="str">
        <f>"9780471420231"</f>
        <v>9780471420231</v>
      </c>
      <c r="E3552" s="2">
        <v>469936</v>
      </c>
    </row>
    <row r="3553" spans="1:5" x14ac:dyDescent="0.25">
      <c r="A3553" s="4">
        <v>41975.779548611114</v>
      </c>
      <c r="B3553" s="2" t="s">
        <v>2785</v>
      </c>
      <c r="C3553" s="2" t="s">
        <v>63</v>
      </c>
      <c r="D3553" s="2" t="str">
        <f>"9781400826759"</f>
        <v>9781400826759</v>
      </c>
      <c r="E3553" s="2">
        <v>457949</v>
      </c>
    </row>
    <row r="3554" spans="1:5" x14ac:dyDescent="0.25">
      <c r="A3554" s="4">
        <v>41994.885023148148</v>
      </c>
      <c r="B3554" s="2" t="s">
        <v>2048</v>
      </c>
      <c r="C3554" s="2" t="s">
        <v>74</v>
      </c>
      <c r="D3554" s="2" t="str">
        <f>"9781441157058"</f>
        <v>9781441157058</v>
      </c>
      <c r="E3554" s="2">
        <v>1014743</v>
      </c>
    </row>
    <row r="3555" spans="1:5" x14ac:dyDescent="0.25">
      <c r="A3555" s="4">
        <v>41994.899085648147</v>
      </c>
      <c r="B3555" s="2" t="s">
        <v>1310</v>
      </c>
      <c r="C3555" s="2" t="s">
        <v>63</v>
      </c>
      <c r="D3555" s="2" t="str">
        <f>"9781400838714"</f>
        <v>9781400838714</v>
      </c>
      <c r="E3555" s="2">
        <v>681320</v>
      </c>
    </row>
    <row r="3556" spans="1:5" x14ac:dyDescent="0.25">
      <c r="A3556" s="4">
        <v>41994.899050925924</v>
      </c>
      <c r="B3556" s="2" t="s">
        <v>1412</v>
      </c>
      <c r="C3556" s="2" t="s">
        <v>63</v>
      </c>
      <c r="D3556" s="2" t="str">
        <f>"9781400826575"</f>
        <v>9781400826575</v>
      </c>
      <c r="E3556" s="2">
        <v>457801</v>
      </c>
    </row>
    <row r="3557" spans="1:5" x14ac:dyDescent="0.25">
      <c r="A3557" s="4">
        <v>41994.899108796293</v>
      </c>
      <c r="B3557" s="2" t="s">
        <v>1215</v>
      </c>
      <c r="C3557" s="2" t="s">
        <v>63</v>
      </c>
      <c r="D3557" s="2" t="str">
        <f>"9781400844586"</f>
        <v>9781400844586</v>
      </c>
      <c r="E3557" s="2">
        <v>1011047</v>
      </c>
    </row>
    <row r="3558" spans="1:5" x14ac:dyDescent="0.25">
      <c r="A3558" s="4">
        <v>41994.899131944447</v>
      </c>
      <c r="B3558" s="2" t="s">
        <v>1139</v>
      </c>
      <c r="C3558" s="2" t="s">
        <v>63</v>
      </c>
      <c r="D3558" s="2" t="str">
        <f>"9781400848799"</f>
        <v>9781400848799</v>
      </c>
      <c r="E3558" s="2">
        <v>1329789</v>
      </c>
    </row>
    <row r="3559" spans="1:5" x14ac:dyDescent="0.25">
      <c r="A3559" s="4">
        <v>41994.899074074077</v>
      </c>
      <c r="B3559" s="2" t="s">
        <v>1314</v>
      </c>
      <c r="C3559" s="2" t="s">
        <v>63</v>
      </c>
      <c r="D3559" s="2" t="str">
        <f>"9781400838004"</f>
        <v>9781400838004</v>
      </c>
      <c r="E3559" s="2">
        <v>664638</v>
      </c>
    </row>
    <row r="3560" spans="1:5" x14ac:dyDescent="0.25">
      <c r="A3560" s="4">
        <v>41921.793252314812</v>
      </c>
      <c r="B3560" s="2" t="s">
        <v>3333</v>
      </c>
      <c r="C3560" s="2" t="s">
        <v>63</v>
      </c>
      <c r="D3560" s="2" t="str">
        <f>"9781400849529"</f>
        <v>9781400849529</v>
      </c>
      <c r="E3560" s="2">
        <v>1441380</v>
      </c>
    </row>
    <row r="3561" spans="1:5" x14ac:dyDescent="0.25">
      <c r="A3561" s="4">
        <v>41912.013969907406</v>
      </c>
      <c r="B3561" s="2" t="s">
        <v>3578</v>
      </c>
      <c r="C3561" s="2" t="s">
        <v>119</v>
      </c>
      <c r="D3561" s="2" t="str">
        <f>"9780520957909"</f>
        <v>9780520957909</v>
      </c>
      <c r="E3561" s="2">
        <v>1686847</v>
      </c>
    </row>
    <row r="3562" spans="1:5" x14ac:dyDescent="0.25">
      <c r="A3562" s="4">
        <v>42880.526967592596</v>
      </c>
      <c r="B3562" s="2" t="s">
        <v>137</v>
      </c>
      <c r="C3562" s="2" t="s">
        <v>119</v>
      </c>
      <c r="D3562" s="2" t="str">
        <f>"9780520959842"</f>
        <v>9780520959842</v>
      </c>
      <c r="E3562" s="2">
        <v>4453280</v>
      </c>
    </row>
    <row r="3563" spans="1:5" x14ac:dyDescent="0.25">
      <c r="A3563" s="4">
        <v>41994.899074074077</v>
      </c>
      <c r="B3563" s="2" t="s">
        <v>1321</v>
      </c>
      <c r="C3563" s="2" t="s">
        <v>63</v>
      </c>
      <c r="D3563" s="2" t="str">
        <f>"9781400836833"</f>
        <v>9781400836833</v>
      </c>
      <c r="E3563" s="2">
        <v>664602</v>
      </c>
    </row>
    <row r="3564" spans="1:5" x14ac:dyDescent="0.25">
      <c r="A3564" s="4">
        <v>41994.899085648147</v>
      </c>
      <c r="B3564" s="2" t="s">
        <v>1307</v>
      </c>
      <c r="C3564" s="2" t="s">
        <v>63</v>
      </c>
      <c r="D3564" s="2" t="str">
        <f>"9781400838332"</f>
        <v>9781400838332</v>
      </c>
      <c r="E3564" s="2">
        <v>686416</v>
      </c>
    </row>
    <row r="3565" spans="1:5" x14ac:dyDescent="0.25">
      <c r="A3565" s="4">
        <v>41994.905624999999</v>
      </c>
      <c r="B3565" s="2" t="s">
        <v>468</v>
      </c>
      <c r="C3565" s="2" t="s">
        <v>96</v>
      </c>
      <c r="D3565" s="2" t="str">
        <f>"9781469615622"</f>
        <v>9781469615622</v>
      </c>
      <c r="E3565" s="2">
        <v>1655858</v>
      </c>
    </row>
    <row r="3566" spans="1:5" x14ac:dyDescent="0.25">
      <c r="A3566" s="4">
        <v>41994.892928240741</v>
      </c>
      <c r="B3566" s="2" t="s">
        <v>1689</v>
      </c>
      <c r="C3566" s="2" t="s">
        <v>16</v>
      </c>
      <c r="D3566" s="2" t="str">
        <f>"9781462505159"</f>
        <v>9781462505159</v>
      </c>
      <c r="E3566" s="2">
        <v>886372</v>
      </c>
    </row>
    <row r="3567" spans="1:5" x14ac:dyDescent="0.25">
      <c r="A3567" s="4">
        <v>41905.792268518519</v>
      </c>
      <c r="B3567" s="2" t="s">
        <v>3731</v>
      </c>
      <c r="C3567" s="2" t="s">
        <v>16</v>
      </c>
      <c r="D3567" s="2" t="str">
        <f>"9781462509348"</f>
        <v>9781462509348</v>
      </c>
      <c r="E3567" s="2">
        <v>864768</v>
      </c>
    </row>
    <row r="3568" spans="1:5" x14ac:dyDescent="0.25">
      <c r="A3568" s="4">
        <v>41994.878750000003</v>
      </c>
      <c r="B3568" s="2" t="s">
        <v>2208</v>
      </c>
      <c r="C3568" s="2" t="s">
        <v>2170</v>
      </c>
      <c r="D3568" s="2" t="str">
        <f>"9781848134393"</f>
        <v>9781848134393</v>
      </c>
      <c r="E3568" s="2">
        <v>512030</v>
      </c>
    </row>
    <row r="3569" spans="1:5" x14ac:dyDescent="0.25">
      <c r="A3569" s="4">
        <v>41924.900393518517</v>
      </c>
      <c r="B3569" s="2" t="s">
        <v>3287</v>
      </c>
      <c r="C3569" s="2" t="s">
        <v>26</v>
      </c>
      <c r="D3569" s="2" t="str">
        <f>"9781444310146"</f>
        <v>9781444310146</v>
      </c>
      <c r="E3569" s="2">
        <v>470450</v>
      </c>
    </row>
    <row r="3570" spans="1:5" x14ac:dyDescent="0.25">
      <c r="A3570" s="4">
        <v>41994.901990740742</v>
      </c>
      <c r="B3570" s="2" t="s">
        <v>729</v>
      </c>
      <c r="C3570" s="2" t="s">
        <v>119</v>
      </c>
      <c r="D3570" s="2" t="str">
        <f>"9780520953710"</f>
        <v>9780520953710</v>
      </c>
      <c r="E3570" s="2">
        <v>1106831</v>
      </c>
    </row>
    <row r="3571" spans="1:5" x14ac:dyDescent="0.25">
      <c r="A3571" s="4">
        <v>41932.422118055554</v>
      </c>
      <c r="B3571" s="2" t="s">
        <v>3126</v>
      </c>
      <c r="C3571" s="2" t="s">
        <v>26</v>
      </c>
      <c r="D3571" s="2" t="str">
        <f>"9780471690436"</f>
        <v>9780471690436</v>
      </c>
      <c r="E3571" s="2">
        <v>469592</v>
      </c>
    </row>
    <row r="3572" spans="1:5" x14ac:dyDescent="0.25">
      <c r="A3572" s="4">
        <v>41905.655381944445</v>
      </c>
      <c r="B3572" s="2" t="s">
        <v>3126</v>
      </c>
      <c r="C3572" s="2" t="s">
        <v>26</v>
      </c>
      <c r="D3572" s="2" t="str">
        <f>"9780470599945"</f>
        <v>9780470599945</v>
      </c>
      <c r="E3572" s="2">
        <v>510187</v>
      </c>
    </row>
    <row r="3573" spans="1:5" x14ac:dyDescent="0.25">
      <c r="A3573" s="4">
        <v>41975.761250000003</v>
      </c>
      <c r="B3573" s="2" t="s">
        <v>2788</v>
      </c>
      <c r="C3573" s="2" t="s">
        <v>26</v>
      </c>
      <c r="D3573" s="2" t="str">
        <f>"9781405153157"</f>
        <v>9781405153157</v>
      </c>
      <c r="E3573" s="2">
        <v>243599</v>
      </c>
    </row>
    <row r="3574" spans="1:5" x14ac:dyDescent="0.25">
      <c r="A3574" s="4">
        <v>41994.899108796293</v>
      </c>
      <c r="B3574" s="2" t="s">
        <v>1206</v>
      </c>
      <c r="C3574" s="2" t="s">
        <v>63</v>
      </c>
      <c r="D3574" s="2" t="str">
        <f>"9781400845422"</f>
        <v>9781400845422</v>
      </c>
      <c r="E3574" s="2">
        <v>1042912</v>
      </c>
    </row>
    <row r="3575" spans="1:5" x14ac:dyDescent="0.25">
      <c r="A3575" s="4">
        <v>41974.941712962966</v>
      </c>
      <c r="B3575" s="2" t="s">
        <v>2890</v>
      </c>
      <c r="C3575" s="2" t="s">
        <v>26</v>
      </c>
      <c r="D3575" s="2" t="str">
        <f>"9781444319323"</f>
        <v>9781444319323</v>
      </c>
      <c r="E3575" s="2">
        <v>477885</v>
      </c>
    </row>
    <row r="3576" spans="1:5" x14ac:dyDescent="0.25">
      <c r="A3576" s="4">
        <v>41994.899062500001</v>
      </c>
      <c r="B3576" s="2" t="s">
        <v>1375</v>
      </c>
      <c r="C3576" s="2" t="s">
        <v>63</v>
      </c>
      <c r="D3576" s="2" t="str">
        <f>"9781400823055"</f>
        <v>9781400823055</v>
      </c>
      <c r="E3576" s="2">
        <v>537679</v>
      </c>
    </row>
    <row r="3577" spans="1:5" x14ac:dyDescent="0.25">
      <c r="A3577" s="4">
        <v>41905.881932870368</v>
      </c>
      <c r="B3577" s="2" t="s">
        <v>3725</v>
      </c>
      <c r="C3577" s="2" t="s">
        <v>119</v>
      </c>
      <c r="D3577" s="2" t="str">
        <f>"9780520951518"</f>
        <v>9780520951518</v>
      </c>
      <c r="E3577" s="2">
        <v>967037</v>
      </c>
    </row>
    <row r="3578" spans="1:5" x14ac:dyDescent="0.25">
      <c r="A3578" s="4">
        <v>41897.635740740741</v>
      </c>
      <c r="B3578" s="2" t="s">
        <v>3870</v>
      </c>
      <c r="C3578" s="2" t="s">
        <v>7</v>
      </c>
      <c r="D3578" s="2" t="str">
        <f>"9781452261836"</f>
        <v>9781452261836</v>
      </c>
      <c r="E3578" s="2">
        <v>996531</v>
      </c>
    </row>
    <row r="3579" spans="1:5" x14ac:dyDescent="0.25">
      <c r="A3579" s="4">
        <v>42878.550625000003</v>
      </c>
      <c r="B3579" s="2" t="s">
        <v>148</v>
      </c>
      <c r="C3579" s="2" t="s">
        <v>7</v>
      </c>
      <c r="D3579" s="2" t="str">
        <f>"9781473943100"</f>
        <v>9781473943100</v>
      </c>
      <c r="E3579" s="2">
        <v>4453984</v>
      </c>
    </row>
    <row r="3580" spans="1:5" x14ac:dyDescent="0.25">
      <c r="A3580" s="4">
        <v>41934.588923611111</v>
      </c>
      <c r="B3580" s="2" t="s">
        <v>3058</v>
      </c>
      <c r="C3580" s="2" t="s">
        <v>7</v>
      </c>
      <c r="D3580" s="2" t="str">
        <f>"9781473907348"</f>
        <v>9781473907348</v>
      </c>
      <c r="E3580" s="2">
        <v>1712665</v>
      </c>
    </row>
    <row r="3581" spans="1:5" x14ac:dyDescent="0.25">
      <c r="A3581" s="4">
        <v>41985.089062500003</v>
      </c>
      <c r="B3581" s="2" t="s">
        <v>2344</v>
      </c>
      <c r="C3581" s="2" t="s">
        <v>7</v>
      </c>
      <c r="D3581" s="2" t="str">
        <f>"9781446209615"</f>
        <v>9781446209615</v>
      </c>
      <c r="E3581" s="2">
        <v>689501</v>
      </c>
    </row>
    <row r="3582" spans="1:5" x14ac:dyDescent="0.25">
      <c r="A3582" s="4">
        <v>41883.880162037036</v>
      </c>
      <c r="B3582" s="2" t="s">
        <v>3915</v>
      </c>
      <c r="C3582" s="2" t="s">
        <v>7</v>
      </c>
      <c r="D3582" s="2" t="str">
        <f>"9781412973373"</f>
        <v>9781412973373</v>
      </c>
      <c r="E3582" s="2">
        <v>996568</v>
      </c>
    </row>
    <row r="3583" spans="1:5" x14ac:dyDescent="0.25">
      <c r="A3583" s="4">
        <v>41925.795486111114</v>
      </c>
      <c r="B3583" s="2" t="s">
        <v>3266</v>
      </c>
      <c r="C3583" s="2" t="s">
        <v>7</v>
      </c>
      <c r="D3583" s="2" t="str">
        <f>"9781446296691"</f>
        <v>9781446296691</v>
      </c>
      <c r="E3583" s="2">
        <v>1707694</v>
      </c>
    </row>
    <row r="3584" spans="1:5" x14ac:dyDescent="0.25">
      <c r="A3584" s="4">
        <v>41927.584652777776</v>
      </c>
      <c r="B3584" s="2" t="s">
        <v>3216</v>
      </c>
      <c r="C3584" s="2" t="s">
        <v>7</v>
      </c>
      <c r="D3584" s="2" t="str">
        <f>"9781452212036"</f>
        <v>9781452212036</v>
      </c>
      <c r="E3584" s="2">
        <v>996479</v>
      </c>
    </row>
    <row r="3585" spans="1:5" x14ac:dyDescent="0.25">
      <c r="A3585" s="4">
        <v>41983.465763888889</v>
      </c>
      <c r="B3585" s="2" t="s">
        <v>2409</v>
      </c>
      <c r="C3585" s="2" t="s">
        <v>7</v>
      </c>
      <c r="D3585" s="2" t="str">
        <f>"9781446250112"</f>
        <v>9781446250112</v>
      </c>
      <c r="E3585" s="2">
        <v>786857</v>
      </c>
    </row>
    <row r="3586" spans="1:5" x14ac:dyDescent="0.25">
      <c r="A3586" s="4">
        <v>41908.662256944444</v>
      </c>
      <c r="B3586" s="2" t="s">
        <v>3646</v>
      </c>
      <c r="C3586" s="2" t="s">
        <v>7</v>
      </c>
      <c r="D3586" s="2" t="str">
        <f>"9781446271643"</f>
        <v>9781446271643</v>
      </c>
      <c r="E3586" s="2">
        <v>1110137</v>
      </c>
    </row>
    <row r="3587" spans="1:5" x14ac:dyDescent="0.25">
      <c r="A3587" s="4">
        <v>41994.899050925924</v>
      </c>
      <c r="B3587" s="2" t="s">
        <v>1413</v>
      </c>
      <c r="C3587" s="2" t="s">
        <v>63</v>
      </c>
      <c r="D3587" s="2" t="str">
        <f>"9781400827671"</f>
        <v>9781400827671</v>
      </c>
      <c r="E3587" s="2">
        <v>457771</v>
      </c>
    </row>
    <row r="3588" spans="1:5" x14ac:dyDescent="0.25">
      <c r="A3588" s="4">
        <v>41994.901956018519</v>
      </c>
      <c r="B3588" s="2" t="s">
        <v>876</v>
      </c>
      <c r="C3588" s="2" t="s">
        <v>119</v>
      </c>
      <c r="D3588" s="2" t="str">
        <f>"9780520948402"</f>
        <v>9780520948402</v>
      </c>
      <c r="E3588" s="2">
        <v>674515</v>
      </c>
    </row>
    <row r="3589" spans="1:5" x14ac:dyDescent="0.25">
      <c r="A3589" s="4">
        <v>41925.819027777776</v>
      </c>
      <c r="B3589" s="2" t="s">
        <v>3264</v>
      </c>
      <c r="C3589" s="2" t="s">
        <v>18</v>
      </c>
      <c r="D3589" s="2" t="str">
        <f>"9781441112989"</f>
        <v>9781441112989</v>
      </c>
      <c r="E3589" s="2">
        <v>1182088</v>
      </c>
    </row>
    <row r="3590" spans="1:5" x14ac:dyDescent="0.25">
      <c r="A3590" s="4">
        <v>41994.908206018517</v>
      </c>
      <c r="B3590" s="2" t="s">
        <v>274</v>
      </c>
      <c r="C3590" s="2" t="s">
        <v>26</v>
      </c>
      <c r="D3590" s="2" t="str">
        <f>"9781118109519"</f>
        <v>9781118109519</v>
      </c>
      <c r="E3590" s="2">
        <v>693267</v>
      </c>
    </row>
    <row r="3591" spans="1:5" x14ac:dyDescent="0.25">
      <c r="A3591" s="4">
        <v>41920.660219907404</v>
      </c>
      <c r="B3591" s="2" t="s">
        <v>3362</v>
      </c>
      <c r="C3591" s="2" t="s">
        <v>26</v>
      </c>
      <c r="D3591" s="2" t="str">
        <f>"9780470830208"</f>
        <v>9780470830208</v>
      </c>
      <c r="E3591" s="2">
        <v>693386</v>
      </c>
    </row>
    <row r="3592" spans="1:5" x14ac:dyDescent="0.25">
      <c r="A3592" s="4">
        <v>41994.89912037037</v>
      </c>
      <c r="B3592" s="2" t="s">
        <v>1174</v>
      </c>
      <c r="C3592" s="2" t="s">
        <v>63</v>
      </c>
      <c r="D3592" s="2" t="str">
        <f>"9781400847341"</f>
        <v>9781400847341</v>
      </c>
      <c r="E3592" s="2">
        <v>1132095</v>
      </c>
    </row>
    <row r="3593" spans="1:5" x14ac:dyDescent="0.25">
      <c r="A3593" s="4">
        <v>41994.902002314811</v>
      </c>
      <c r="B3593" s="2" t="s">
        <v>724</v>
      </c>
      <c r="C3593" s="2" t="s">
        <v>119</v>
      </c>
      <c r="D3593" s="2" t="str">
        <f>"9780520954441"</f>
        <v>9780520954441</v>
      </c>
      <c r="E3593" s="2">
        <v>1119425</v>
      </c>
    </row>
    <row r="3594" spans="1:5" x14ac:dyDescent="0.25">
      <c r="A3594" s="4">
        <v>41994.892893518518</v>
      </c>
      <c r="B3594" s="2" t="s">
        <v>1766</v>
      </c>
      <c r="C3594" s="2" t="s">
        <v>16</v>
      </c>
      <c r="D3594" s="2" t="str">
        <f>"9781593858643"</f>
        <v>9781593858643</v>
      </c>
      <c r="E3594" s="2">
        <v>406044</v>
      </c>
    </row>
    <row r="3595" spans="1:5" x14ac:dyDescent="0.25">
      <c r="A3595" s="4">
        <v>41994.885046296295</v>
      </c>
      <c r="B3595" s="2" t="s">
        <v>1966</v>
      </c>
      <c r="C3595" s="2" t="s">
        <v>18</v>
      </c>
      <c r="D3595" s="2" t="str">
        <f>"9781441146397"</f>
        <v>9781441146397</v>
      </c>
      <c r="E3595" s="2">
        <v>1602355</v>
      </c>
    </row>
    <row r="3596" spans="1:5" x14ac:dyDescent="0.25">
      <c r="A3596" s="4">
        <v>41904.783171296294</v>
      </c>
      <c r="B3596" s="2" t="s">
        <v>3765</v>
      </c>
      <c r="C3596" s="2" t="s">
        <v>18</v>
      </c>
      <c r="D3596" s="2" t="str">
        <f>"9781847883445"</f>
        <v>9781847883445</v>
      </c>
      <c r="E3596" s="2">
        <v>483729</v>
      </c>
    </row>
    <row r="3597" spans="1:5" x14ac:dyDescent="0.25">
      <c r="A3597" s="4">
        <v>41916.752175925925</v>
      </c>
      <c r="B3597" s="2" t="s">
        <v>3473</v>
      </c>
      <c r="C3597" s="2" t="s">
        <v>63</v>
      </c>
      <c r="D3597" s="2" t="str">
        <f>"9781400849376"</f>
        <v>9781400849376</v>
      </c>
      <c r="E3597" s="2">
        <v>1422523</v>
      </c>
    </row>
    <row r="3598" spans="1:5" x14ac:dyDescent="0.25">
      <c r="A3598" s="4">
        <v>41994.878750000003</v>
      </c>
      <c r="B3598" s="2" t="s">
        <v>2189</v>
      </c>
      <c r="C3598" s="2" t="s">
        <v>2170</v>
      </c>
      <c r="D3598" s="2" t="str">
        <f>"9781780324043"</f>
        <v>9781780324043</v>
      </c>
      <c r="E3598" s="2">
        <v>1160738</v>
      </c>
    </row>
    <row r="3599" spans="1:5" x14ac:dyDescent="0.25">
      <c r="A3599" s="4">
        <v>41876.565150462964</v>
      </c>
      <c r="B3599" s="2" t="s">
        <v>3938</v>
      </c>
      <c r="C3599" s="2" t="s">
        <v>26</v>
      </c>
      <c r="D3599" s="2" t="str">
        <f>"9780470551646"</f>
        <v>9780470551646</v>
      </c>
      <c r="E3599" s="2">
        <v>468958</v>
      </c>
    </row>
    <row r="3600" spans="1:5" x14ac:dyDescent="0.25">
      <c r="A3600" s="4">
        <v>41985.495821759258</v>
      </c>
      <c r="B3600" s="2" t="s">
        <v>2334</v>
      </c>
      <c r="C3600" s="2" t="s">
        <v>26</v>
      </c>
      <c r="D3600" s="2" t="str">
        <f>"9781118028735"</f>
        <v>9781118028735</v>
      </c>
      <c r="E3600" s="2">
        <v>675269</v>
      </c>
    </row>
    <row r="3601" spans="1:5" x14ac:dyDescent="0.25">
      <c r="A3601" s="4">
        <v>41994.899131944447</v>
      </c>
      <c r="B3601" s="2" t="s">
        <v>1131</v>
      </c>
      <c r="C3601" s="2" t="s">
        <v>63</v>
      </c>
      <c r="D3601" s="2" t="str">
        <f>"9781400849420"</f>
        <v>9781400849420</v>
      </c>
      <c r="E3601" s="2">
        <v>1422528</v>
      </c>
    </row>
    <row r="3602" spans="1:5" x14ac:dyDescent="0.25">
      <c r="A3602" s="4">
        <v>41994.899074074077</v>
      </c>
      <c r="B3602" s="2" t="s">
        <v>1335</v>
      </c>
      <c r="C3602" s="2" t="s">
        <v>63</v>
      </c>
      <c r="D3602" s="2" t="str">
        <f>"9781400838141"</f>
        <v>9781400838141</v>
      </c>
      <c r="E3602" s="2">
        <v>662350</v>
      </c>
    </row>
    <row r="3603" spans="1:5" x14ac:dyDescent="0.25">
      <c r="A3603" s="4">
        <v>41994.901909722219</v>
      </c>
      <c r="B3603" s="2" t="s">
        <v>1009</v>
      </c>
      <c r="C3603" s="2" t="s">
        <v>119</v>
      </c>
      <c r="D3603" s="2" t="str">
        <f>"9780520935761"</f>
        <v>9780520935761</v>
      </c>
      <c r="E3603" s="2">
        <v>224183</v>
      </c>
    </row>
    <row r="3604" spans="1:5" x14ac:dyDescent="0.25">
      <c r="A3604" s="4">
        <v>41994.908171296294</v>
      </c>
      <c r="B3604" s="2" t="s">
        <v>365</v>
      </c>
      <c r="C3604" s="2" t="s">
        <v>26</v>
      </c>
      <c r="D3604" s="2" t="str">
        <f>"9780470754955"</f>
        <v>9780470754955</v>
      </c>
      <c r="E3604" s="2">
        <v>351603</v>
      </c>
    </row>
    <row r="3605" spans="1:5" x14ac:dyDescent="0.25">
      <c r="A3605" s="4">
        <v>41976.479027777779</v>
      </c>
      <c r="B3605" s="2" t="s">
        <v>2701</v>
      </c>
      <c r="C3605" s="2" t="s">
        <v>36</v>
      </c>
      <c r="D3605" s="2" t="str">
        <f>"9780786427147"</f>
        <v>9780786427147</v>
      </c>
      <c r="E3605" s="2">
        <v>1774273</v>
      </c>
    </row>
    <row r="3606" spans="1:5" x14ac:dyDescent="0.25">
      <c r="A3606" s="4">
        <v>41926.605416666665</v>
      </c>
      <c r="B3606" s="2" t="s">
        <v>3240</v>
      </c>
      <c r="C3606" s="2" t="s">
        <v>119</v>
      </c>
      <c r="D3606" s="2" t="str">
        <f>"9780520948037"</f>
        <v>9780520948037</v>
      </c>
      <c r="E3606" s="2">
        <v>763983</v>
      </c>
    </row>
    <row r="3607" spans="1:5" x14ac:dyDescent="0.25">
      <c r="A3607" s="4">
        <v>41994.901967592596</v>
      </c>
      <c r="B3607" s="2" t="s">
        <v>807</v>
      </c>
      <c r="C3607" s="2" t="s">
        <v>119</v>
      </c>
      <c r="D3607" s="2" t="str">
        <f>"9780520923256"</f>
        <v>9780520923256</v>
      </c>
      <c r="E3607" s="2">
        <v>847467</v>
      </c>
    </row>
    <row r="3608" spans="1:5" x14ac:dyDescent="0.25">
      <c r="A3608" s="4">
        <v>41917.879004629627</v>
      </c>
      <c r="B3608" s="2" t="s">
        <v>3450</v>
      </c>
      <c r="C3608" s="2" t="s">
        <v>7</v>
      </c>
      <c r="D3608" s="2" t="str">
        <f>"9781848609006"</f>
        <v>9781848609006</v>
      </c>
      <c r="E3608" s="2">
        <v>1001338</v>
      </c>
    </row>
    <row r="3609" spans="1:5" x14ac:dyDescent="0.25">
      <c r="A3609" s="4">
        <v>41994.899155092593</v>
      </c>
      <c r="B3609" s="2" t="s">
        <v>1064</v>
      </c>
      <c r="C3609" s="2" t="s">
        <v>63</v>
      </c>
      <c r="D3609" s="2" t="str">
        <f>"9781400852048"</f>
        <v>9781400852048</v>
      </c>
      <c r="E3609" s="2">
        <v>1699523</v>
      </c>
    </row>
    <row r="3610" spans="1:5" x14ac:dyDescent="0.25">
      <c r="A3610" s="4">
        <v>41994.908206018517</v>
      </c>
      <c r="B3610" s="2" t="s">
        <v>297</v>
      </c>
      <c r="C3610" s="2" t="s">
        <v>26</v>
      </c>
      <c r="D3610" s="2" t="str">
        <f>"9781118003503"</f>
        <v>9781118003503</v>
      </c>
      <c r="E3610" s="2">
        <v>644784</v>
      </c>
    </row>
    <row r="3611" spans="1:5" x14ac:dyDescent="0.25">
      <c r="A3611" s="4">
        <v>41994.892893518518</v>
      </c>
      <c r="B3611" s="2" t="s">
        <v>1777</v>
      </c>
      <c r="C3611" s="2" t="s">
        <v>16</v>
      </c>
      <c r="D3611" s="2" t="str">
        <f>"9781606230602"</f>
        <v>9781606230602</v>
      </c>
      <c r="E3611" s="2">
        <v>352288</v>
      </c>
    </row>
    <row r="3612" spans="1:5" x14ac:dyDescent="0.25">
      <c r="A3612" s="4">
        <v>41994.892893518518</v>
      </c>
      <c r="B3612" s="2" t="s">
        <v>1787</v>
      </c>
      <c r="C3612" s="2" t="s">
        <v>16</v>
      </c>
      <c r="D3612" s="2" t="str">
        <f>"9781593855628"</f>
        <v>9781593855628</v>
      </c>
      <c r="E3612" s="2">
        <v>306792</v>
      </c>
    </row>
    <row r="3613" spans="1:5" x14ac:dyDescent="0.25">
      <c r="A3613" s="4">
        <v>41994.896157407406</v>
      </c>
      <c r="B3613" s="2" t="s">
        <v>1478</v>
      </c>
      <c r="C3613" s="2" t="s">
        <v>28</v>
      </c>
      <c r="D3613" s="2" t="str">
        <f>"9780253009494"</f>
        <v>9780253009494</v>
      </c>
      <c r="E3613" s="2">
        <v>1207315</v>
      </c>
    </row>
    <row r="3614" spans="1:5" x14ac:dyDescent="0.25">
      <c r="A3614" s="4">
        <v>41994.889930555553</v>
      </c>
      <c r="B3614" s="2" t="s">
        <v>1817</v>
      </c>
      <c r="C3614" s="2" t="s">
        <v>72</v>
      </c>
      <c r="D3614" s="2" t="str">
        <f>"9780748637492"</f>
        <v>9780748637492</v>
      </c>
      <c r="E3614" s="2">
        <v>1173643</v>
      </c>
    </row>
    <row r="3615" spans="1:5" x14ac:dyDescent="0.25">
      <c r="A3615" s="4">
        <v>41975.892777777779</v>
      </c>
      <c r="B3615" s="2" t="s">
        <v>2759</v>
      </c>
      <c r="C3615" s="2" t="s">
        <v>26</v>
      </c>
      <c r="D3615" s="2" t="str">
        <f>"9781405143431"</f>
        <v>9781405143431</v>
      </c>
      <c r="E3615" s="2">
        <v>233136</v>
      </c>
    </row>
    <row r="3616" spans="1:5" x14ac:dyDescent="0.25">
      <c r="A3616" s="4">
        <v>41975.736990740741</v>
      </c>
      <c r="B3616" s="2" t="s">
        <v>2759</v>
      </c>
      <c r="C3616" s="2" t="s">
        <v>26</v>
      </c>
      <c r="D3616" s="2" t="str">
        <f>"9781444397239"</f>
        <v>9781444397239</v>
      </c>
      <c r="E3616" s="2">
        <v>675317</v>
      </c>
    </row>
    <row r="3617" spans="1:5" x14ac:dyDescent="0.25">
      <c r="A3617" s="4">
        <v>41981.870474537034</v>
      </c>
      <c r="B3617" s="2" t="s">
        <v>2460</v>
      </c>
      <c r="C3617" s="2" t="s">
        <v>7</v>
      </c>
      <c r="D3617" s="2" t="str">
        <f>"9781452245188"</f>
        <v>9781452245188</v>
      </c>
      <c r="E3617" s="2">
        <v>1598291</v>
      </c>
    </row>
    <row r="3618" spans="1:5" x14ac:dyDescent="0.25">
      <c r="A3618" s="4">
        <v>41994.899143518516</v>
      </c>
      <c r="B3618" s="2" t="s">
        <v>1094</v>
      </c>
      <c r="C3618" s="2" t="s">
        <v>63</v>
      </c>
      <c r="D3618" s="2" t="str">
        <f>"9781400851096"</f>
        <v>9781400851096</v>
      </c>
      <c r="E3618" s="2">
        <v>1586591</v>
      </c>
    </row>
    <row r="3619" spans="1:5" x14ac:dyDescent="0.25">
      <c r="A3619" s="4">
        <v>41994.885046296295</v>
      </c>
      <c r="B3619" s="2" t="s">
        <v>1991</v>
      </c>
      <c r="C3619" s="2" t="s">
        <v>18</v>
      </c>
      <c r="D3619" s="2" t="str">
        <f>"9781472521194"</f>
        <v>9781472521194</v>
      </c>
      <c r="E3619" s="2">
        <v>1394936</v>
      </c>
    </row>
    <row r="3620" spans="1:5" x14ac:dyDescent="0.25">
      <c r="A3620" s="4">
        <v>41994.899085648147</v>
      </c>
      <c r="B3620" s="2" t="s">
        <v>1298</v>
      </c>
      <c r="C3620" s="2" t="s">
        <v>63</v>
      </c>
      <c r="D3620" s="2" t="str">
        <f>"9781400840762"</f>
        <v>9781400840762</v>
      </c>
      <c r="E3620" s="2">
        <v>714067</v>
      </c>
    </row>
    <row r="3621" spans="1:5" x14ac:dyDescent="0.25">
      <c r="A3621" s="4">
        <v>41994.90824074074</v>
      </c>
      <c r="B3621" s="2" t="s">
        <v>173</v>
      </c>
      <c r="C3621" s="2" t="s">
        <v>26</v>
      </c>
      <c r="D3621" s="2" t="str">
        <f>"9781444360530"</f>
        <v>9781444360530</v>
      </c>
      <c r="E3621" s="2">
        <v>819458</v>
      </c>
    </row>
    <row r="3622" spans="1:5" x14ac:dyDescent="0.25">
      <c r="A3622" s="4">
        <v>41994.899050925924</v>
      </c>
      <c r="B3622" s="2" t="s">
        <v>1397</v>
      </c>
      <c r="C3622" s="2" t="s">
        <v>63</v>
      </c>
      <c r="D3622" s="2" t="str">
        <f>"9781400831128"</f>
        <v>9781400831128</v>
      </c>
      <c r="E3622" s="2">
        <v>475842</v>
      </c>
    </row>
    <row r="3623" spans="1:5" x14ac:dyDescent="0.25">
      <c r="A3623" s="4">
        <v>41906.899606481478</v>
      </c>
      <c r="B3623" s="2" t="s">
        <v>3697</v>
      </c>
      <c r="C3623" s="2" t="s">
        <v>63</v>
      </c>
      <c r="D3623" s="2" t="str">
        <f>"9781400850884"</f>
        <v>9781400850884</v>
      </c>
      <c r="E3623" s="2">
        <v>1573481</v>
      </c>
    </row>
    <row r="3624" spans="1:5" x14ac:dyDescent="0.25">
      <c r="A3624" s="4">
        <v>41994.899131944447</v>
      </c>
      <c r="B3624" s="2" t="s">
        <v>1143</v>
      </c>
      <c r="C3624" s="2" t="s">
        <v>63</v>
      </c>
      <c r="D3624" s="2" t="str">
        <f>"9781400848263"</f>
        <v>9781400848263</v>
      </c>
      <c r="E3624" s="2">
        <v>1329783</v>
      </c>
    </row>
    <row r="3625" spans="1:5" x14ac:dyDescent="0.25">
      <c r="A3625" s="4">
        <v>41994.899050925924</v>
      </c>
      <c r="B3625" s="2" t="s">
        <v>1414</v>
      </c>
      <c r="C3625" s="2" t="s">
        <v>63</v>
      </c>
      <c r="D3625" s="2" t="str">
        <f>"9781400827947"</f>
        <v>9781400827947</v>
      </c>
      <c r="E3625" s="2">
        <v>457769</v>
      </c>
    </row>
    <row r="3626" spans="1:5" x14ac:dyDescent="0.25">
      <c r="A3626" s="4">
        <v>41994.908148148148</v>
      </c>
      <c r="B3626" s="2" t="s">
        <v>422</v>
      </c>
      <c r="C3626" s="2" t="s">
        <v>26</v>
      </c>
      <c r="D3626" s="2" t="str">
        <f>"9780471036708"</f>
        <v>9780471036708</v>
      </c>
      <c r="E3626" s="2">
        <v>117689</v>
      </c>
    </row>
    <row r="3627" spans="1:5" x14ac:dyDescent="0.25">
      <c r="A3627" s="4">
        <v>41908.348993055559</v>
      </c>
      <c r="B3627" s="2" t="s">
        <v>3658</v>
      </c>
      <c r="C3627" s="2" t="s">
        <v>63</v>
      </c>
      <c r="D3627" s="2" t="str">
        <f>"9781400830428"</f>
        <v>9781400830428</v>
      </c>
      <c r="E3627" s="2">
        <v>537655</v>
      </c>
    </row>
    <row r="3628" spans="1:5" x14ac:dyDescent="0.25">
      <c r="A3628" s="4">
        <v>41994.905613425923</v>
      </c>
      <c r="B3628" s="2" t="s">
        <v>485</v>
      </c>
      <c r="C3628" s="2" t="s">
        <v>96</v>
      </c>
      <c r="D3628" s="2" t="str">
        <f>"9780807837337"</f>
        <v>9780807837337</v>
      </c>
      <c r="E3628" s="2">
        <v>1076064</v>
      </c>
    </row>
    <row r="3629" spans="1:5" x14ac:dyDescent="0.25">
      <c r="A3629" s="4">
        <v>41994.892928240741</v>
      </c>
      <c r="B3629" s="2" t="s">
        <v>1681</v>
      </c>
      <c r="C3629" s="2" t="s">
        <v>16</v>
      </c>
      <c r="D3629" s="2" t="str">
        <f>"9781462505333"</f>
        <v>9781462505333</v>
      </c>
      <c r="E3629" s="2">
        <v>951110</v>
      </c>
    </row>
    <row r="3630" spans="1:5" x14ac:dyDescent="0.25">
      <c r="A3630" s="4">
        <v>41981.467719907407</v>
      </c>
      <c r="B3630" s="2" t="s">
        <v>2479</v>
      </c>
      <c r="C3630" s="2" t="s">
        <v>63</v>
      </c>
      <c r="D3630" s="2" t="str">
        <f>"9781400852239"</f>
        <v>9781400852239</v>
      </c>
      <c r="E3630" s="2">
        <v>1724883</v>
      </c>
    </row>
    <row r="3631" spans="1:5" x14ac:dyDescent="0.25">
      <c r="A3631" s="4">
        <v>41994.899085648147</v>
      </c>
      <c r="B3631" s="2" t="s">
        <v>1294</v>
      </c>
      <c r="C3631" s="2" t="s">
        <v>63</v>
      </c>
      <c r="D3631" s="2" t="str">
        <f>"9781400830800"</f>
        <v>9781400830800</v>
      </c>
      <c r="E3631" s="2">
        <v>729941</v>
      </c>
    </row>
    <row r="3632" spans="1:5" x14ac:dyDescent="0.25">
      <c r="A3632" s="4">
        <v>41935.571111111109</v>
      </c>
      <c r="B3632" s="2" t="s">
        <v>3026</v>
      </c>
      <c r="C3632" s="2" t="s">
        <v>119</v>
      </c>
      <c r="D3632" s="2" t="str">
        <f>"9780520958449"</f>
        <v>9780520958449</v>
      </c>
      <c r="E3632" s="2">
        <v>1637652</v>
      </c>
    </row>
    <row r="3633" spans="1:5" x14ac:dyDescent="0.25">
      <c r="A3633" s="4">
        <v>41994.899131944447</v>
      </c>
      <c r="B3633" s="2" t="s">
        <v>1151</v>
      </c>
      <c r="C3633" s="2" t="s">
        <v>63</v>
      </c>
      <c r="D3633" s="2" t="str">
        <f>"9781400848638"</f>
        <v>9781400848638</v>
      </c>
      <c r="E3633" s="2">
        <v>1213977</v>
      </c>
    </row>
    <row r="3634" spans="1:5" x14ac:dyDescent="0.25">
      <c r="A3634" s="4">
        <v>41994.908217592594</v>
      </c>
      <c r="B3634" s="2" t="s">
        <v>237</v>
      </c>
      <c r="C3634" s="2" t="s">
        <v>26</v>
      </c>
      <c r="D3634" s="2" t="str">
        <f>"9781118123546"</f>
        <v>9781118123546</v>
      </c>
      <c r="E3634" s="2">
        <v>698097</v>
      </c>
    </row>
    <row r="3635" spans="1:5" x14ac:dyDescent="0.25">
      <c r="A3635" s="4">
        <v>41994.892893518518</v>
      </c>
      <c r="B3635" s="2" t="s">
        <v>1768</v>
      </c>
      <c r="C3635" s="2" t="s">
        <v>16</v>
      </c>
      <c r="D3635" s="2" t="str">
        <f>"9781593858674"</f>
        <v>9781593858674</v>
      </c>
      <c r="E3635" s="2">
        <v>406007</v>
      </c>
    </row>
    <row r="3636" spans="1:5" x14ac:dyDescent="0.25">
      <c r="A3636" s="4">
        <v>41928.625393518516</v>
      </c>
      <c r="B3636" s="2" t="s">
        <v>3191</v>
      </c>
      <c r="C3636" s="2" t="s">
        <v>26</v>
      </c>
      <c r="D3636" s="2" t="str">
        <f>"9780470688519"</f>
        <v>9780470688519</v>
      </c>
      <c r="E3636" s="2">
        <v>624803</v>
      </c>
    </row>
    <row r="3637" spans="1:5" x14ac:dyDescent="0.25">
      <c r="A3637" s="4">
        <v>41994.899143518516</v>
      </c>
      <c r="B3637" s="2" t="s">
        <v>1107</v>
      </c>
      <c r="C3637" s="2" t="s">
        <v>63</v>
      </c>
      <c r="D3637" s="2" t="str">
        <f>"9781400851010"</f>
        <v>9781400851010</v>
      </c>
      <c r="E3637" s="2">
        <v>1573468</v>
      </c>
    </row>
    <row r="3638" spans="1:5" x14ac:dyDescent="0.25">
      <c r="A3638" s="4">
        <v>41926.531041666669</v>
      </c>
      <c r="B3638" s="2" t="s">
        <v>3246</v>
      </c>
      <c r="C3638" s="2" t="s">
        <v>63</v>
      </c>
      <c r="D3638" s="2" t="str">
        <f>"9781400834884"</f>
        <v>9781400834884</v>
      </c>
      <c r="E3638" s="2">
        <v>557149</v>
      </c>
    </row>
    <row r="3639" spans="1:5" x14ac:dyDescent="0.25">
      <c r="A3639" s="4">
        <v>41994.905590277776</v>
      </c>
      <c r="B3639" s="2" t="s">
        <v>567</v>
      </c>
      <c r="C3639" s="2" t="s">
        <v>96</v>
      </c>
      <c r="D3639" s="2" t="str">
        <f>"9780807877661"</f>
        <v>9780807877661</v>
      </c>
      <c r="E3639" s="2">
        <v>680724</v>
      </c>
    </row>
    <row r="3640" spans="1:5" x14ac:dyDescent="0.25">
      <c r="A3640" s="4">
        <v>41975.459907407407</v>
      </c>
      <c r="B3640" s="2" t="s">
        <v>2848</v>
      </c>
      <c r="C3640" s="2" t="s">
        <v>18</v>
      </c>
      <c r="D3640" s="2" t="str">
        <f>"9781472518415"</f>
        <v>9781472518415</v>
      </c>
      <c r="E3640" s="2">
        <v>1731915</v>
      </c>
    </row>
    <row r="3641" spans="1:5" x14ac:dyDescent="0.25">
      <c r="A3641" s="4">
        <v>41994.899085648147</v>
      </c>
      <c r="B3641" s="2" t="s">
        <v>1297</v>
      </c>
      <c r="C3641" s="2" t="s">
        <v>63</v>
      </c>
      <c r="D3641" s="2" t="str">
        <f>"9781400839421"</f>
        <v>9781400839421</v>
      </c>
      <c r="E3641" s="2">
        <v>725839</v>
      </c>
    </row>
    <row r="3642" spans="1:5" x14ac:dyDescent="0.25">
      <c r="A3642" s="4">
        <v>41994.89912037037</v>
      </c>
      <c r="B3642" s="2" t="s">
        <v>1160</v>
      </c>
      <c r="C3642" s="2" t="s">
        <v>63</v>
      </c>
      <c r="D3642" s="2" t="str">
        <f>"9781400848645"</f>
        <v>9781400848645</v>
      </c>
      <c r="E3642" s="2">
        <v>1189075</v>
      </c>
    </row>
    <row r="3643" spans="1:5" x14ac:dyDescent="0.25">
      <c r="A3643" s="4">
        <v>41994.885011574072</v>
      </c>
      <c r="B3643" s="2" t="s">
        <v>2062</v>
      </c>
      <c r="C3643" s="2" t="s">
        <v>18</v>
      </c>
      <c r="D3643" s="2" t="str">
        <f>"9781408136133"</f>
        <v>9781408136133</v>
      </c>
      <c r="E3643" s="2">
        <v>863169</v>
      </c>
    </row>
    <row r="3644" spans="1:5" x14ac:dyDescent="0.25">
      <c r="A3644" s="4">
        <v>41982.667256944442</v>
      </c>
      <c r="B3644" s="2" t="s">
        <v>2429</v>
      </c>
      <c r="C3644" s="2" t="s">
        <v>18</v>
      </c>
      <c r="D3644" s="2" t="str">
        <f>"9781408154540"</f>
        <v>9781408154540</v>
      </c>
      <c r="E3644" s="2">
        <v>1731913</v>
      </c>
    </row>
    <row r="3645" spans="1:5" x14ac:dyDescent="0.25">
      <c r="A3645" s="4">
        <v>41974.587881944448</v>
      </c>
      <c r="B3645" s="2" t="s">
        <v>2953</v>
      </c>
      <c r="C3645" s="2" t="s">
        <v>18</v>
      </c>
      <c r="D3645" s="2" t="str">
        <f>"9781408145326"</f>
        <v>9781408145326</v>
      </c>
      <c r="E3645" s="2">
        <v>1561334</v>
      </c>
    </row>
    <row r="3646" spans="1:5" x14ac:dyDescent="0.25">
      <c r="A3646" s="4">
        <v>41932.657256944447</v>
      </c>
      <c r="B3646" s="2" t="s">
        <v>3113</v>
      </c>
      <c r="C3646" s="2" t="s">
        <v>63</v>
      </c>
      <c r="D3646" s="2" t="str">
        <f>"9781400831944"</f>
        <v>9781400831944</v>
      </c>
      <c r="E3646" s="2">
        <v>1187507</v>
      </c>
    </row>
    <row r="3647" spans="1:5" x14ac:dyDescent="0.25">
      <c r="A3647" s="4">
        <v>41994.901909722219</v>
      </c>
      <c r="B3647" s="2" t="s">
        <v>1027</v>
      </c>
      <c r="C3647" s="2" t="s">
        <v>119</v>
      </c>
      <c r="D3647" s="2" t="str">
        <f>"9780520921399"</f>
        <v>9780520921399</v>
      </c>
      <c r="E3647" s="2">
        <v>223407</v>
      </c>
    </row>
    <row r="3648" spans="1:5" x14ac:dyDescent="0.25">
      <c r="A3648" s="4">
        <v>41975.805069444446</v>
      </c>
      <c r="B3648" s="2" t="s">
        <v>2779</v>
      </c>
      <c r="C3648" s="2" t="s">
        <v>7</v>
      </c>
      <c r="D3648" s="2" t="str">
        <f>"9781848609532"</f>
        <v>9781848609532</v>
      </c>
      <c r="E3648" s="2">
        <v>1023914</v>
      </c>
    </row>
    <row r="3649" spans="1:5" x14ac:dyDescent="0.25">
      <c r="A3649" s="4">
        <v>41994.902002314811</v>
      </c>
      <c r="B3649" s="2" t="s">
        <v>689</v>
      </c>
      <c r="C3649" s="2" t="s">
        <v>119</v>
      </c>
      <c r="D3649" s="2" t="str">
        <f>"9780520956902"</f>
        <v>9780520956902</v>
      </c>
      <c r="E3649" s="2">
        <v>1463632</v>
      </c>
    </row>
    <row r="3650" spans="1:5" x14ac:dyDescent="0.25">
      <c r="A3650" s="4">
        <v>41919.439039351855</v>
      </c>
      <c r="B3650" s="2" t="s">
        <v>3400</v>
      </c>
      <c r="C3650" s="2" t="s">
        <v>63</v>
      </c>
      <c r="D3650" s="2" t="str">
        <f>"9781400849949"</f>
        <v>9781400849949</v>
      </c>
      <c r="E3650" s="2">
        <v>1577199</v>
      </c>
    </row>
    <row r="3651" spans="1:5" x14ac:dyDescent="0.25">
      <c r="A3651" s="4">
        <v>41921.545729166668</v>
      </c>
      <c r="B3651" s="2" t="s">
        <v>3342</v>
      </c>
      <c r="C3651" s="2" t="s">
        <v>63</v>
      </c>
      <c r="D3651" s="2" t="str">
        <f>"9781400841219"</f>
        <v>9781400841219</v>
      </c>
      <c r="E3651" s="2">
        <v>784524</v>
      </c>
    </row>
    <row r="3652" spans="1:5" x14ac:dyDescent="0.25">
      <c r="A3652" s="4">
        <v>41994.902002314811</v>
      </c>
      <c r="B3652" s="2" t="s">
        <v>691</v>
      </c>
      <c r="C3652" s="2" t="s">
        <v>119</v>
      </c>
      <c r="D3652" s="2" t="str">
        <f>"9780520957152"</f>
        <v>9780520957152</v>
      </c>
      <c r="E3652" s="2">
        <v>1463405</v>
      </c>
    </row>
    <row r="3653" spans="1:5" x14ac:dyDescent="0.25">
      <c r="A3653" s="4">
        <v>41994.908182870371</v>
      </c>
      <c r="B3653" s="2" t="s">
        <v>355</v>
      </c>
      <c r="C3653" s="2" t="s">
        <v>26</v>
      </c>
      <c r="D3653" s="2" t="str">
        <f>"9780470545119"</f>
        <v>9780470545119</v>
      </c>
      <c r="E3653" s="2">
        <v>433880</v>
      </c>
    </row>
    <row r="3654" spans="1:5" x14ac:dyDescent="0.25">
      <c r="A3654" s="4">
        <v>41994.901909722219</v>
      </c>
      <c r="B3654" s="2" t="s">
        <v>1005</v>
      </c>
      <c r="C3654" s="2" t="s">
        <v>119</v>
      </c>
      <c r="D3654" s="2" t="str">
        <f>"9780520936799"</f>
        <v>9780520936799</v>
      </c>
      <c r="E3654" s="2">
        <v>224219</v>
      </c>
    </row>
    <row r="3655" spans="1:5" x14ac:dyDescent="0.25">
      <c r="A3655" s="4">
        <v>41934.352523148147</v>
      </c>
      <c r="B3655" s="2" t="s">
        <v>3068</v>
      </c>
      <c r="C3655" s="2" t="s">
        <v>26</v>
      </c>
      <c r="D3655" s="2" t="str">
        <f>"9780470872420"</f>
        <v>9780470872420</v>
      </c>
      <c r="E3655" s="2">
        <v>588893</v>
      </c>
    </row>
    <row r="3656" spans="1:5" x14ac:dyDescent="0.25">
      <c r="A3656" s="4">
        <v>41994.899108796293</v>
      </c>
      <c r="B3656" s="2" t="s">
        <v>1213</v>
      </c>
      <c r="C3656" s="2" t="s">
        <v>63</v>
      </c>
      <c r="D3656" s="2" t="str">
        <f>"9781400844715"</f>
        <v>9781400844715</v>
      </c>
      <c r="E3656" s="2">
        <v>1021154</v>
      </c>
    </row>
    <row r="3657" spans="1:5" x14ac:dyDescent="0.25">
      <c r="A3657" s="4">
        <v>41994.908194444448</v>
      </c>
      <c r="B3657" s="2" t="s">
        <v>312</v>
      </c>
      <c r="C3657" s="2" t="s">
        <v>26</v>
      </c>
      <c r="D3657" s="2" t="str">
        <f>"9780470627341"</f>
        <v>9780470627341</v>
      </c>
      <c r="E3657" s="2">
        <v>588934</v>
      </c>
    </row>
    <row r="3658" spans="1:5" x14ac:dyDescent="0.25">
      <c r="A3658" s="4">
        <v>41994.878750000003</v>
      </c>
      <c r="B3658" s="2" t="s">
        <v>2213</v>
      </c>
      <c r="C3658" s="2" t="s">
        <v>2170</v>
      </c>
      <c r="D3658" s="2" t="str">
        <f>"9781848132368"</f>
        <v>9781848132368</v>
      </c>
      <c r="E3658" s="2">
        <v>437366</v>
      </c>
    </row>
    <row r="3659" spans="1:5" x14ac:dyDescent="0.25">
      <c r="A3659" s="4">
        <v>41985.262615740743</v>
      </c>
      <c r="B3659" s="2" t="s">
        <v>2343</v>
      </c>
      <c r="C3659" s="2" t="s">
        <v>63</v>
      </c>
      <c r="D3659" s="2" t="str">
        <f>"9781400839179"</f>
        <v>9781400839179</v>
      </c>
      <c r="E3659" s="2">
        <v>832662</v>
      </c>
    </row>
    <row r="3660" spans="1:5" x14ac:dyDescent="0.25">
      <c r="A3660" s="4">
        <v>41994.901909722219</v>
      </c>
      <c r="B3660" s="2" t="s">
        <v>1028</v>
      </c>
      <c r="C3660" s="2" t="s">
        <v>119</v>
      </c>
      <c r="D3660" s="2" t="str">
        <f>"9780520939356"</f>
        <v>9780520939356</v>
      </c>
      <c r="E3660" s="2">
        <v>223397</v>
      </c>
    </row>
    <row r="3661" spans="1:5" x14ac:dyDescent="0.25">
      <c r="A3661" s="4">
        <v>43207.449363425927</v>
      </c>
      <c r="B3661" s="2" t="s">
        <v>52</v>
      </c>
      <c r="C3661" s="2" t="s">
        <v>36</v>
      </c>
      <c r="D3661" s="2" t="str">
        <f>"9781476622699"</f>
        <v>9781476622699</v>
      </c>
      <c r="E3661" s="2">
        <v>4389011</v>
      </c>
    </row>
    <row r="3662" spans="1:5" x14ac:dyDescent="0.25">
      <c r="A3662" s="4">
        <v>41982.470520833333</v>
      </c>
      <c r="B3662" s="2" t="s">
        <v>2441</v>
      </c>
      <c r="C3662" s="2" t="s">
        <v>119</v>
      </c>
      <c r="D3662" s="2" t="str">
        <f>"9780520958371"</f>
        <v>9780520958371</v>
      </c>
      <c r="E3662" s="2">
        <v>1650799</v>
      </c>
    </row>
    <row r="3663" spans="1:5" x14ac:dyDescent="0.25">
      <c r="A3663" s="4">
        <v>41921.75545138889</v>
      </c>
      <c r="B3663" s="2" t="s">
        <v>3335</v>
      </c>
      <c r="C3663" s="2" t="s">
        <v>119</v>
      </c>
      <c r="D3663" s="2" t="str">
        <f>"9780520941601"</f>
        <v>9780520941601</v>
      </c>
      <c r="E3663" s="2">
        <v>470853</v>
      </c>
    </row>
    <row r="3664" spans="1:5" x14ac:dyDescent="0.25">
      <c r="A3664" s="4">
        <v>41994.899050925924</v>
      </c>
      <c r="B3664" s="2" t="s">
        <v>1418</v>
      </c>
      <c r="C3664" s="2" t="s">
        <v>63</v>
      </c>
      <c r="D3664" s="2" t="str">
        <f>"9781400829088"</f>
        <v>9781400829088</v>
      </c>
      <c r="E3664" s="2">
        <v>457753</v>
      </c>
    </row>
    <row r="3665" spans="1:5" x14ac:dyDescent="0.25">
      <c r="A3665" s="4">
        <v>43207.554444444446</v>
      </c>
      <c r="B3665" s="2" t="s">
        <v>45</v>
      </c>
      <c r="C3665" s="2" t="s">
        <v>36</v>
      </c>
      <c r="D3665" s="2" t="str">
        <f>"9781476624334"</f>
        <v>9781476624334</v>
      </c>
      <c r="E3665" s="2">
        <v>4513177</v>
      </c>
    </row>
    <row r="3666" spans="1:5" x14ac:dyDescent="0.25">
      <c r="A3666" s="4">
        <v>41994.889907407407</v>
      </c>
      <c r="B3666" s="2" t="s">
        <v>1852</v>
      </c>
      <c r="C3666" s="2" t="s">
        <v>72</v>
      </c>
      <c r="D3666" s="2" t="str">
        <f>"9780748654970"</f>
        <v>9780748654970</v>
      </c>
      <c r="E3666" s="2">
        <v>932474</v>
      </c>
    </row>
    <row r="3667" spans="1:5" x14ac:dyDescent="0.25">
      <c r="A3667" s="4">
        <v>41913.640092592592</v>
      </c>
      <c r="B3667" s="2" t="s">
        <v>3536</v>
      </c>
      <c r="C3667" s="2" t="s">
        <v>26</v>
      </c>
      <c r="D3667" s="2" t="str">
        <f>"9781405152280"</f>
        <v>9781405152280</v>
      </c>
      <c r="E3667" s="2">
        <v>243584</v>
      </c>
    </row>
    <row r="3668" spans="1:5" x14ac:dyDescent="0.25">
      <c r="A3668" s="4">
        <v>41994.901909722219</v>
      </c>
      <c r="B3668" s="2" t="s">
        <v>1025</v>
      </c>
      <c r="C3668" s="2" t="s">
        <v>119</v>
      </c>
      <c r="D3668" s="2" t="str">
        <f>"9780520939820"</f>
        <v>9780520939820</v>
      </c>
      <c r="E3668" s="2">
        <v>223494</v>
      </c>
    </row>
    <row r="3669" spans="1:5" x14ac:dyDescent="0.25">
      <c r="A3669" s="4">
        <v>41994.899085648147</v>
      </c>
      <c r="B3669" s="2" t="s">
        <v>1276</v>
      </c>
      <c r="C3669" s="2" t="s">
        <v>63</v>
      </c>
      <c r="D3669" s="2" t="str">
        <f>"9781400839506"</f>
        <v>9781400839506</v>
      </c>
      <c r="E3669" s="2">
        <v>765283</v>
      </c>
    </row>
    <row r="3670" spans="1:5" x14ac:dyDescent="0.25">
      <c r="A3670" s="4">
        <v>41923.764641203707</v>
      </c>
      <c r="B3670" s="2" t="s">
        <v>3303</v>
      </c>
      <c r="C3670" s="2" t="s">
        <v>26</v>
      </c>
      <c r="D3670" s="2" t="str">
        <f>"9780857080905"</f>
        <v>9780857080905</v>
      </c>
      <c r="E3670" s="2">
        <v>624699</v>
      </c>
    </row>
    <row r="3671" spans="1:5" x14ac:dyDescent="0.25">
      <c r="A3671" s="4">
        <v>41994.899085648147</v>
      </c>
      <c r="B3671" s="2" t="s">
        <v>1289</v>
      </c>
      <c r="C3671" s="2" t="s">
        <v>63</v>
      </c>
      <c r="D3671" s="2" t="str">
        <f>"9781400839810"</f>
        <v>9781400839810</v>
      </c>
      <c r="E3671" s="2">
        <v>729952</v>
      </c>
    </row>
    <row r="3672" spans="1:5" x14ac:dyDescent="0.25">
      <c r="A3672" s="4">
        <v>41994.908194444448</v>
      </c>
      <c r="B3672" s="2" t="s">
        <v>320</v>
      </c>
      <c r="C3672" s="2" t="s">
        <v>26</v>
      </c>
      <c r="D3672" s="2" t="str">
        <f>"9781444325492"</f>
        <v>9781444325492</v>
      </c>
      <c r="E3672" s="2">
        <v>555065</v>
      </c>
    </row>
    <row r="3673" spans="1:5" x14ac:dyDescent="0.25">
      <c r="A3673" s="4">
        <v>41994.899062500001</v>
      </c>
      <c r="B3673" s="2" t="s">
        <v>1370</v>
      </c>
      <c r="C3673" s="2" t="s">
        <v>63</v>
      </c>
      <c r="D3673" s="2" t="str">
        <f>"9781400834372"</f>
        <v>9781400834372</v>
      </c>
      <c r="E3673" s="2">
        <v>537722</v>
      </c>
    </row>
    <row r="3674" spans="1:5" x14ac:dyDescent="0.25">
      <c r="A3674" s="4">
        <v>41994.885057870371</v>
      </c>
      <c r="B3674" s="2" t="s">
        <v>1940</v>
      </c>
      <c r="C3674" s="2" t="s">
        <v>18</v>
      </c>
      <c r="D3674" s="2" t="str">
        <f>"9781441143143"</f>
        <v>9781441143143</v>
      </c>
      <c r="E3674" s="2">
        <v>1744073</v>
      </c>
    </row>
    <row r="3675" spans="1:5" x14ac:dyDescent="0.25">
      <c r="A3675" s="4">
        <v>41976.623449074075</v>
      </c>
      <c r="B3675" s="2" t="s">
        <v>2662</v>
      </c>
      <c r="C3675" s="2" t="s">
        <v>74</v>
      </c>
      <c r="D3675" s="2" t="str">
        <f>"9781441182685"</f>
        <v>9781441182685</v>
      </c>
      <c r="E3675" s="2">
        <v>564206</v>
      </c>
    </row>
    <row r="3676" spans="1:5" x14ac:dyDescent="0.25">
      <c r="A3676" s="4">
        <v>41974.644479166665</v>
      </c>
      <c r="B3676" s="2" t="s">
        <v>2940</v>
      </c>
      <c r="C3676" s="2" t="s">
        <v>2170</v>
      </c>
      <c r="D3676" s="2" t="str">
        <f>"9781848135888"</f>
        <v>9781848135888</v>
      </c>
      <c r="E3676" s="2">
        <v>765182</v>
      </c>
    </row>
    <row r="3677" spans="1:5" x14ac:dyDescent="0.25">
      <c r="A3677" s="4">
        <v>41994.905590277776</v>
      </c>
      <c r="B3677" s="2" t="s">
        <v>563</v>
      </c>
      <c r="C3677" s="2" t="s">
        <v>96</v>
      </c>
      <c r="D3677" s="2" t="str">
        <f>"9780807877708"</f>
        <v>9780807877708</v>
      </c>
      <c r="E3677" s="2">
        <v>690708</v>
      </c>
    </row>
    <row r="3678" spans="1:5" x14ac:dyDescent="0.25">
      <c r="A3678" s="4">
        <v>41892.772974537038</v>
      </c>
      <c r="B3678" s="2" t="s">
        <v>3887</v>
      </c>
      <c r="C3678" s="2" t="s">
        <v>26</v>
      </c>
      <c r="D3678" s="2" t="str">
        <f>"9780470258569"</f>
        <v>9780470258569</v>
      </c>
      <c r="E3678" s="2">
        <v>331620</v>
      </c>
    </row>
    <row r="3679" spans="1:5" x14ac:dyDescent="0.25">
      <c r="A3679" s="4">
        <v>41994.901932870373</v>
      </c>
      <c r="B3679" s="2" t="s">
        <v>952</v>
      </c>
      <c r="C3679" s="2" t="s">
        <v>119</v>
      </c>
      <c r="D3679" s="2" t="str">
        <f>"9780520905290"</f>
        <v>9780520905290</v>
      </c>
      <c r="E3679" s="2">
        <v>470822</v>
      </c>
    </row>
    <row r="3680" spans="1:5" x14ac:dyDescent="0.25">
      <c r="A3680" s="4">
        <v>41994.899074074077</v>
      </c>
      <c r="B3680" s="2" t="s">
        <v>1337</v>
      </c>
      <c r="C3680" s="2" t="s">
        <v>63</v>
      </c>
      <c r="D3680" s="2" t="str">
        <f>"9781400837533"</f>
        <v>9781400837533</v>
      </c>
      <c r="E3680" s="2">
        <v>646769</v>
      </c>
    </row>
    <row r="3681" spans="1:5" x14ac:dyDescent="0.25">
      <c r="A3681" s="4">
        <v>41994.899143518516</v>
      </c>
      <c r="B3681" s="2" t="s">
        <v>1090</v>
      </c>
      <c r="C3681" s="2" t="s">
        <v>63</v>
      </c>
      <c r="D3681" s="2" t="str">
        <f>"9781400850051"</f>
        <v>9781400850051</v>
      </c>
      <c r="E3681" s="2">
        <v>1603110</v>
      </c>
    </row>
    <row r="3682" spans="1:5" x14ac:dyDescent="0.25">
      <c r="A3682" s="4">
        <v>41994.899108796293</v>
      </c>
      <c r="B3682" s="2" t="s">
        <v>1236</v>
      </c>
      <c r="C3682" s="2" t="s">
        <v>63</v>
      </c>
      <c r="D3682" s="2" t="str">
        <f>"9781400841844"</f>
        <v>9781400841844</v>
      </c>
      <c r="E3682" s="2">
        <v>869206</v>
      </c>
    </row>
    <row r="3683" spans="1:5" x14ac:dyDescent="0.25">
      <c r="A3683" s="4">
        <v>41918.577141203707</v>
      </c>
      <c r="B3683" s="2" t="s">
        <v>3427</v>
      </c>
      <c r="C3683" s="2" t="s">
        <v>119</v>
      </c>
      <c r="D3683" s="2" t="str">
        <f>"9780520945531"</f>
        <v>9780520945531</v>
      </c>
      <c r="E3683" s="2">
        <v>547588</v>
      </c>
    </row>
    <row r="3684" spans="1:5" x14ac:dyDescent="0.25">
      <c r="A3684" s="4">
        <v>41927.500405092593</v>
      </c>
      <c r="B3684" s="2" t="s">
        <v>3221</v>
      </c>
      <c r="C3684" s="2" t="s">
        <v>36</v>
      </c>
      <c r="D3684" s="2" t="str">
        <f>"9781476602479"</f>
        <v>9781476602479</v>
      </c>
      <c r="E3684" s="2">
        <v>1336671</v>
      </c>
    </row>
    <row r="3685" spans="1:5" x14ac:dyDescent="0.25">
      <c r="A3685" s="4">
        <v>41976.577789351853</v>
      </c>
      <c r="B3685" s="2" t="s">
        <v>2675</v>
      </c>
      <c r="C3685" s="2" t="s">
        <v>36</v>
      </c>
      <c r="D3685" s="2" t="str">
        <f>"9780786489183"</f>
        <v>9780786489183</v>
      </c>
      <c r="E3685" s="2">
        <v>771382</v>
      </c>
    </row>
    <row r="3686" spans="1:5" x14ac:dyDescent="0.25">
      <c r="A3686" s="4">
        <v>41994.90556712963</v>
      </c>
      <c r="B3686" s="2" t="s">
        <v>625</v>
      </c>
      <c r="C3686" s="2" t="s">
        <v>424</v>
      </c>
      <c r="D3686" s="2" t="str">
        <f>"9780807875827"</f>
        <v>9780807875827</v>
      </c>
      <c r="E3686" s="2">
        <v>413204</v>
      </c>
    </row>
    <row r="3687" spans="1:5" x14ac:dyDescent="0.25">
      <c r="A3687" s="4">
        <v>41915.529537037037</v>
      </c>
      <c r="B3687" s="2" t="s">
        <v>3495</v>
      </c>
      <c r="C3687" s="2" t="s">
        <v>2283</v>
      </c>
      <c r="D3687" s="2" t="str">
        <f>"9789027277374"</f>
        <v>9789027277374</v>
      </c>
      <c r="E3687" s="2">
        <v>784357</v>
      </c>
    </row>
    <row r="3688" spans="1:5" x14ac:dyDescent="0.25">
      <c r="A3688" s="4">
        <v>41988.986875000002</v>
      </c>
      <c r="B3688" s="2" t="s">
        <v>2269</v>
      </c>
      <c r="C3688" s="2" t="s">
        <v>26</v>
      </c>
      <c r="D3688" s="2" t="str">
        <f>"9781444342086"</f>
        <v>9781444342086</v>
      </c>
      <c r="E3688" s="2">
        <v>675253</v>
      </c>
    </row>
    <row r="3689" spans="1:5" x14ac:dyDescent="0.25">
      <c r="A3689" s="4">
        <v>41994.899155092593</v>
      </c>
      <c r="B3689" s="2" t="s">
        <v>1054</v>
      </c>
      <c r="C3689" s="2" t="s">
        <v>63</v>
      </c>
      <c r="D3689" s="2" t="str">
        <f>"9781400852284"</f>
        <v>9781400852284</v>
      </c>
      <c r="E3689" s="2">
        <v>1724884</v>
      </c>
    </row>
    <row r="3690" spans="1:5" x14ac:dyDescent="0.25">
      <c r="A3690" s="4">
        <v>41994.885046296295</v>
      </c>
      <c r="B3690" s="2" t="s">
        <v>1990</v>
      </c>
      <c r="C3690" s="2" t="s">
        <v>18</v>
      </c>
      <c r="D3690" s="2" t="str">
        <f>"9781472519771"</f>
        <v>9781472519771</v>
      </c>
      <c r="E3690" s="2">
        <v>1394940</v>
      </c>
    </row>
    <row r="3691" spans="1:5" x14ac:dyDescent="0.25">
      <c r="A3691" s="4">
        <v>41994.892905092594</v>
      </c>
      <c r="B3691" s="2" t="s">
        <v>1756</v>
      </c>
      <c r="C3691" s="2" t="s">
        <v>16</v>
      </c>
      <c r="D3691" s="2" t="str">
        <f>"9781606233412"</f>
        <v>9781606233412</v>
      </c>
      <c r="E3691" s="2">
        <v>465658</v>
      </c>
    </row>
    <row r="3692" spans="1:5" x14ac:dyDescent="0.25">
      <c r="A3692" s="4">
        <v>41994.905601851853</v>
      </c>
      <c r="B3692" s="2" t="s">
        <v>515</v>
      </c>
      <c r="C3692" s="2" t="s">
        <v>424</v>
      </c>
      <c r="D3692" s="2" t="str">
        <f>"9780807889077"</f>
        <v>9780807889077</v>
      </c>
      <c r="E3692" s="2">
        <v>880380</v>
      </c>
    </row>
    <row r="3693" spans="1:5" x14ac:dyDescent="0.25">
      <c r="A3693" s="4">
        <v>41975.841793981483</v>
      </c>
      <c r="B3693" s="2" t="s">
        <v>2772</v>
      </c>
      <c r="C3693" s="2" t="s">
        <v>7</v>
      </c>
      <c r="D3693" s="2" t="str">
        <f>"9781412931939"</f>
        <v>9781412931939</v>
      </c>
      <c r="E3693" s="2">
        <v>254765</v>
      </c>
    </row>
    <row r="3694" spans="1:5" x14ac:dyDescent="0.25">
      <c r="A3694" s="4">
        <v>41989.444791666669</v>
      </c>
      <c r="B3694" s="2" t="s">
        <v>2262</v>
      </c>
      <c r="C3694" s="2" t="s">
        <v>63</v>
      </c>
      <c r="D3694" s="2" t="str">
        <f>"9781400850174"</f>
        <v>9781400850174</v>
      </c>
      <c r="E3694" s="2">
        <v>1674228</v>
      </c>
    </row>
    <row r="3695" spans="1:5" x14ac:dyDescent="0.25">
      <c r="A3695" s="4">
        <v>41994.901921296296</v>
      </c>
      <c r="B3695" s="2" t="s">
        <v>981</v>
      </c>
      <c r="C3695" s="2" t="s">
        <v>119</v>
      </c>
      <c r="D3695" s="2" t="str">
        <f>"9780520939240"</f>
        <v>9780520939240</v>
      </c>
      <c r="E3695" s="2">
        <v>227344</v>
      </c>
    </row>
    <row r="3696" spans="1:5" x14ac:dyDescent="0.25">
      <c r="A3696" s="4">
        <v>41994.885057870371</v>
      </c>
      <c r="B3696" s="2" t="s">
        <v>1946</v>
      </c>
      <c r="C3696" s="2" t="s">
        <v>74</v>
      </c>
      <c r="D3696" s="2" t="str">
        <f>"9780567487643"</f>
        <v>9780567487643</v>
      </c>
      <c r="E3696" s="2">
        <v>1698558</v>
      </c>
    </row>
    <row r="3697" spans="1:5" x14ac:dyDescent="0.25">
      <c r="A3697" s="4">
        <v>41858.967731481483</v>
      </c>
      <c r="B3697" s="2" t="s">
        <v>3963</v>
      </c>
      <c r="C3697" s="2" t="s">
        <v>26</v>
      </c>
      <c r="D3697" s="2" t="str">
        <f>"9780857082015"</f>
        <v>9780857082015</v>
      </c>
      <c r="E3697" s="2">
        <v>661769</v>
      </c>
    </row>
    <row r="3698" spans="1:5" x14ac:dyDescent="0.25">
      <c r="A3698" s="4">
        <v>41911.604664351849</v>
      </c>
      <c r="B3698" s="2" t="s">
        <v>3596</v>
      </c>
      <c r="C3698" s="2" t="s">
        <v>63</v>
      </c>
      <c r="D3698" s="2" t="str">
        <f>"9781400836086"</f>
        <v>9781400836086</v>
      </c>
      <c r="E3698" s="2">
        <v>590833</v>
      </c>
    </row>
    <row r="3699" spans="1:5" x14ac:dyDescent="0.25">
      <c r="A3699" s="4">
        <v>41994.902013888888</v>
      </c>
      <c r="B3699" s="2" t="s">
        <v>680</v>
      </c>
      <c r="C3699" s="2" t="s">
        <v>119</v>
      </c>
      <c r="D3699" s="2" t="str">
        <f>"9780520958012"</f>
        <v>9780520958012</v>
      </c>
      <c r="E3699" s="2">
        <v>1582317</v>
      </c>
    </row>
    <row r="3700" spans="1:5" x14ac:dyDescent="0.25">
      <c r="A3700" s="4">
        <v>41975.582673611112</v>
      </c>
      <c r="B3700" s="2" t="s">
        <v>2825</v>
      </c>
      <c r="C3700" s="2" t="s">
        <v>74</v>
      </c>
      <c r="D3700" s="2" t="str">
        <f>"9781441184146"</f>
        <v>9781441184146</v>
      </c>
      <c r="E3700" s="2">
        <v>821598</v>
      </c>
    </row>
    <row r="3701" spans="1:5" x14ac:dyDescent="0.25">
      <c r="A3701" s="4">
        <v>41994.908217592594</v>
      </c>
      <c r="B3701" s="2" t="s">
        <v>245</v>
      </c>
      <c r="C3701" s="2" t="s">
        <v>26</v>
      </c>
      <c r="D3701" s="2" t="str">
        <f>"9781444343816"</f>
        <v>9781444343816</v>
      </c>
      <c r="E3701" s="2">
        <v>697779</v>
      </c>
    </row>
    <row r="3702" spans="1:5" x14ac:dyDescent="0.25">
      <c r="A3702" s="4">
        <v>41933.339699074073</v>
      </c>
      <c r="B3702" s="2" t="s">
        <v>3099</v>
      </c>
      <c r="C3702" s="2" t="s">
        <v>424</v>
      </c>
      <c r="D3702" s="2" t="str">
        <f>"9780807866719"</f>
        <v>9780807866719</v>
      </c>
      <c r="E3702" s="2">
        <v>880149</v>
      </c>
    </row>
    <row r="3703" spans="1:5" x14ac:dyDescent="0.25">
      <c r="A3703" s="4">
        <v>41994.908182870371</v>
      </c>
      <c r="B3703" s="2" t="s">
        <v>330</v>
      </c>
      <c r="C3703" s="2" t="s">
        <v>26</v>
      </c>
      <c r="D3703" s="2" t="str">
        <f>"9780470643419"</f>
        <v>9780470643419</v>
      </c>
      <c r="E3703" s="2">
        <v>484888</v>
      </c>
    </row>
    <row r="3704" spans="1:5" x14ac:dyDescent="0.25">
      <c r="A3704" s="4">
        <v>41994.905636574076</v>
      </c>
      <c r="B3704" s="2" t="s">
        <v>439</v>
      </c>
      <c r="C3704" s="2" t="s">
        <v>96</v>
      </c>
      <c r="D3704" s="2" t="str">
        <f>"9781469614243"</f>
        <v>9781469614243</v>
      </c>
      <c r="E3704" s="2">
        <v>1663555</v>
      </c>
    </row>
    <row r="3705" spans="1:5" x14ac:dyDescent="0.25">
      <c r="A3705" s="4">
        <v>43146.47724537037</v>
      </c>
      <c r="B3705" s="2" t="s">
        <v>95</v>
      </c>
      <c r="C3705" s="2" t="s">
        <v>96</v>
      </c>
      <c r="D3705" s="2" t="str">
        <f>"9781469635996"</f>
        <v>9781469635996</v>
      </c>
      <c r="E3705" s="2">
        <v>5105873</v>
      </c>
    </row>
    <row r="3706" spans="1:5" x14ac:dyDescent="0.25">
      <c r="A3706" s="4">
        <v>41994.908217592594</v>
      </c>
      <c r="B3706" s="2" t="s">
        <v>246</v>
      </c>
      <c r="C3706" s="2" t="s">
        <v>26</v>
      </c>
      <c r="D3706" s="2" t="str">
        <f>"9781118097403"</f>
        <v>9781118097403</v>
      </c>
      <c r="E3706" s="2">
        <v>697746</v>
      </c>
    </row>
    <row r="3707" spans="1:5" x14ac:dyDescent="0.25">
      <c r="A3707" s="4">
        <v>41994.908229166664</v>
      </c>
      <c r="B3707" s="2" t="s">
        <v>219</v>
      </c>
      <c r="C3707" s="2" t="s">
        <v>26</v>
      </c>
      <c r="D3707" s="2" t="str">
        <f>"9780470926772"</f>
        <v>9780470926772</v>
      </c>
      <c r="E3707" s="2">
        <v>706613</v>
      </c>
    </row>
    <row r="3708" spans="1:5" x14ac:dyDescent="0.25">
      <c r="A3708" s="4">
        <v>41909.350891203707</v>
      </c>
      <c r="B3708" s="2" t="s">
        <v>3635</v>
      </c>
      <c r="C3708" s="2" t="s">
        <v>63</v>
      </c>
      <c r="D3708" s="2" t="str">
        <f>"9781400850068"</f>
        <v>9781400850068</v>
      </c>
      <c r="E3708" s="2">
        <v>1603111</v>
      </c>
    </row>
    <row r="3709" spans="1:5" x14ac:dyDescent="0.25">
      <c r="A3709" s="4">
        <v>41994.905613425923</v>
      </c>
      <c r="B3709" s="2" t="s">
        <v>482</v>
      </c>
      <c r="C3709" s="2" t="s">
        <v>96</v>
      </c>
      <c r="D3709" s="2" t="str">
        <f>"9780807837351"</f>
        <v>9780807837351</v>
      </c>
      <c r="E3709" s="2">
        <v>1107593</v>
      </c>
    </row>
    <row r="3710" spans="1:5" x14ac:dyDescent="0.25">
      <c r="A3710" s="4">
        <v>41976.710486111115</v>
      </c>
      <c r="B3710" s="2" t="s">
        <v>2643</v>
      </c>
      <c r="C3710" s="2" t="s">
        <v>96</v>
      </c>
      <c r="D3710" s="2" t="str">
        <f>"9780807882887"</f>
        <v>9780807882887</v>
      </c>
      <c r="E3710" s="2">
        <v>793376</v>
      </c>
    </row>
    <row r="3711" spans="1:5" x14ac:dyDescent="0.25">
      <c r="A3711" s="4">
        <v>41980.982777777775</v>
      </c>
      <c r="B3711" s="2" t="s">
        <v>2491</v>
      </c>
      <c r="C3711" s="2" t="s">
        <v>119</v>
      </c>
      <c r="D3711" s="2" t="str">
        <f>"9780520949843"</f>
        <v>9780520949843</v>
      </c>
      <c r="E3711" s="2">
        <v>737650</v>
      </c>
    </row>
    <row r="3712" spans="1:5" x14ac:dyDescent="0.25">
      <c r="A3712" s="4">
        <v>41994.908182870371</v>
      </c>
      <c r="B3712" s="2" t="s">
        <v>358</v>
      </c>
      <c r="C3712" s="2" t="s">
        <v>160</v>
      </c>
      <c r="D3712" s="2" t="str">
        <f>"9781444304701"</f>
        <v>9781444304701</v>
      </c>
      <c r="E3712" s="2">
        <v>416546</v>
      </c>
    </row>
    <row r="3713" spans="1:5" x14ac:dyDescent="0.25">
      <c r="A3713" s="4">
        <v>41977.364976851852</v>
      </c>
      <c r="B3713" s="2" t="s">
        <v>358</v>
      </c>
      <c r="C3713" s="2" t="s">
        <v>160</v>
      </c>
      <c r="D3713" s="2" t="str">
        <f>"9781444305876"</f>
        <v>9781444305876</v>
      </c>
      <c r="E3713" s="2">
        <v>914516</v>
      </c>
    </row>
    <row r="3714" spans="1:5" x14ac:dyDescent="0.25">
      <c r="A3714" s="4">
        <v>41994.899062500001</v>
      </c>
      <c r="B3714" s="2" t="s">
        <v>1361</v>
      </c>
      <c r="C3714" s="2" t="s">
        <v>63</v>
      </c>
      <c r="D3714" s="2" t="str">
        <f>"9781400822119"</f>
        <v>9781400822119</v>
      </c>
      <c r="E3714" s="2">
        <v>581590</v>
      </c>
    </row>
    <row r="3715" spans="1:5" x14ac:dyDescent="0.25">
      <c r="A3715" s="4">
        <v>41931.691435185188</v>
      </c>
      <c r="B3715" s="2" t="s">
        <v>3138</v>
      </c>
      <c r="C3715" s="2" t="s">
        <v>63</v>
      </c>
      <c r="D3715" s="2" t="str">
        <f>"9781400848522"</f>
        <v>9781400848522</v>
      </c>
      <c r="E3715" s="2">
        <v>1341876</v>
      </c>
    </row>
    <row r="3716" spans="1:5" x14ac:dyDescent="0.25">
      <c r="A3716" s="4">
        <v>41902.627488425926</v>
      </c>
      <c r="B3716" s="2" t="s">
        <v>3805</v>
      </c>
      <c r="C3716" s="2" t="s">
        <v>119</v>
      </c>
      <c r="D3716" s="2" t="str">
        <f>"9780520957879"</f>
        <v>9780520957879</v>
      </c>
      <c r="E3716" s="2">
        <v>1589017</v>
      </c>
    </row>
    <row r="3717" spans="1:5" x14ac:dyDescent="0.25">
      <c r="A3717" s="4">
        <v>41994.908217592594</v>
      </c>
      <c r="B3717" s="2" t="s">
        <v>265</v>
      </c>
      <c r="C3717" s="2" t="s">
        <v>26</v>
      </c>
      <c r="D3717" s="2" t="str">
        <f>"9781118099810"</f>
        <v>9781118099810</v>
      </c>
      <c r="E3717" s="2">
        <v>693545</v>
      </c>
    </row>
    <row r="3718" spans="1:5" x14ac:dyDescent="0.25">
      <c r="A3718" s="4">
        <v>41918.417199074072</v>
      </c>
      <c r="B3718" s="2" t="s">
        <v>3442</v>
      </c>
      <c r="C3718" s="2" t="s">
        <v>63</v>
      </c>
      <c r="D3718" s="2" t="str">
        <f>"9781400829521"</f>
        <v>9781400829521</v>
      </c>
      <c r="E3718" s="2">
        <v>539787</v>
      </c>
    </row>
    <row r="3719" spans="1:5" x14ac:dyDescent="0.25">
      <c r="A3719" s="4">
        <v>41994.905636574076</v>
      </c>
      <c r="B3719" s="2" t="s">
        <v>436</v>
      </c>
      <c r="C3719" s="2" t="s">
        <v>96</v>
      </c>
      <c r="D3719" s="2" t="str">
        <f>"9781469617794"</f>
        <v>9781469617794</v>
      </c>
      <c r="E3719" s="2">
        <v>1663562</v>
      </c>
    </row>
    <row r="3720" spans="1:5" x14ac:dyDescent="0.25">
      <c r="A3720" s="4">
        <v>41917.585081018522</v>
      </c>
      <c r="B3720" s="2" t="s">
        <v>3458</v>
      </c>
      <c r="C3720" s="2" t="s">
        <v>119</v>
      </c>
      <c r="D3720" s="2" t="str">
        <f>"9780520940383"</f>
        <v>9780520940383</v>
      </c>
      <c r="E3720" s="2">
        <v>227345</v>
      </c>
    </row>
    <row r="3721" spans="1:5" x14ac:dyDescent="0.25">
      <c r="A3721" s="4">
        <v>41975.880312499998</v>
      </c>
      <c r="B3721" s="2" t="s">
        <v>2761</v>
      </c>
      <c r="C3721" s="2" t="s">
        <v>26</v>
      </c>
      <c r="D3721" s="2" t="str">
        <f>"9781119996279"</f>
        <v>9781119996279</v>
      </c>
      <c r="E3721" s="2">
        <v>661833</v>
      </c>
    </row>
    <row r="3722" spans="1:5" x14ac:dyDescent="0.25">
      <c r="A3722" s="4">
        <v>41994.884988425925</v>
      </c>
      <c r="B3722" s="2" t="s">
        <v>2127</v>
      </c>
      <c r="C3722" s="2" t="s">
        <v>18</v>
      </c>
      <c r="D3722" s="2" t="str">
        <f>"9781441137555"</f>
        <v>9781441137555</v>
      </c>
      <c r="E3722" s="2">
        <v>601778</v>
      </c>
    </row>
    <row r="3723" spans="1:5" x14ac:dyDescent="0.25">
      <c r="A3723" s="4">
        <v>41994.908171296294</v>
      </c>
      <c r="B3723" s="2" t="s">
        <v>376</v>
      </c>
      <c r="C3723" s="2" t="s">
        <v>26</v>
      </c>
      <c r="D3723" s="2" t="str">
        <f>"9780470187470"</f>
        <v>9780470187470</v>
      </c>
      <c r="E3723" s="2">
        <v>333836</v>
      </c>
    </row>
    <row r="3724" spans="1:5" x14ac:dyDescent="0.25">
      <c r="A3724" s="4">
        <v>41983.850011574075</v>
      </c>
      <c r="B3724" s="2" t="s">
        <v>2388</v>
      </c>
      <c r="C3724" s="2" t="s">
        <v>26</v>
      </c>
      <c r="D3724" s="2" t="str">
        <f>"9781118145319"</f>
        <v>9781118145319</v>
      </c>
      <c r="E3724" s="2">
        <v>698044</v>
      </c>
    </row>
    <row r="3725" spans="1:5" x14ac:dyDescent="0.25">
      <c r="A3725" s="4">
        <v>41994.901979166665</v>
      </c>
      <c r="B3725" s="2" t="s">
        <v>767</v>
      </c>
      <c r="C3725" s="2" t="s">
        <v>119</v>
      </c>
      <c r="D3725" s="2" t="str">
        <f>"9780520942622"</f>
        <v>9780520942622</v>
      </c>
      <c r="E3725" s="2">
        <v>922922</v>
      </c>
    </row>
    <row r="3726" spans="1:5" x14ac:dyDescent="0.25">
      <c r="A3726" s="4">
        <v>41904.96943287037</v>
      </c>
      <c r="B3726" s="2" t="s">
        <v>3757</v>
      </c>
      <c r="C3726" s="2" t="s">
        <v>119</v>
      </c>
      <c r="D3726" s="2" t="str">
        <f>"9780520955431"</f>
        <v>9780520955431</v>
      </c>
      <c r="E3726" s="2">
        <v>1157096</v>
      </c>
    </row>
    <row r="3727" spans="1:5" x14ac:dyDescent="0.25">
      <c r="A3727" s="4">
        <v>41994.899097222224</v>
      </c>
      <c r="B3727" s="2" t="s">
        <v>1271</v>
      </c>
      <c r="C3727" s="2" t="s">
        <v>63</v>
      </c>
      <c r="D3727" s="2" t="str">
        <f>"9781400840403"</f>
        <v>9781400840403</v>
      </c>
      <c r="E3727" s="2">
        <v>775529</v>
      </c>
    </row>
    <row r="3728" spans="1:5" x14ac:dyDescent="0.25">
      <c r="A3728" s="4">
        <v>41994.89912037037</v>
      </c>
      <c r="B3728" s="2" t="s">
        <v>1193</v>
      </c>
      <c r="C3728" s="2" t="s">
        <v>63</v>
      </c>
      <c r="D3728" s="2" t="str">
        <f>"9781400846726"</f>
        <v>9781400846726</v>
      </c>
      <c r="E3728" s="2">
        <v>1105281</v>
      </c>
    </row>
    <row r="3729" spans="1:5" x14ac:dyDescent="0.25">
      <c r="A3729" s="4">
        <v>41887.581041666665</v>
      </c>
      <c r="B3729" s="2" t="s">
        <v>3900</v>
      </c>
      <c r="C3729" s="2" t="s">
        <v>419</v>
      </c>
      <c r="D3729" s="2" t="str">
        <f>"9780764517150"</f>
        <v>9780764517150</v>
      </c>
      <c r="E3729" s="2">
        <v>128463</v>
      </c>
    </row>
    <row r="3730" spans="1:5" x14ac:dyDescent="0.25">
      <c r="A3730" s="4">
        <v>41994.901921296296</v>
      </c>
      <c r="B3730" s="2" t="s">
        <v>975</v>
      </c>
      <c r="C3730" s="2" t="s">
        <v>119</v>
      </c>
      <c r="D3730" s="2" t="str">
        <f>"9780520938908"</f>
        <v>9780520938908</v>
      </c>
      <c r="E3730" s="2">
        <v>231929</v>
      </c>
    </row>
    <row r="3731" spans="1:5" x14ac:dyDescent="0.25">
      <c r="A3731" s="4">
        <v>41911.348229166666</v>
      </c>
      <c r="B3731" s="2" t="s">
        <v>3604</v>
      </c>
      <c r="C3731" s="2" t="s">
        <v>119</v>
      </c>
      <c r="D3731" s="2" t="str">
        <f>"9780520956988"</f>
        <v>9780520956988</v>
      </c>
      <c r="E3731" s="2">
        <v>1219559</v>
      </c>
    </row>
    <row r="3732" spans="1:5" x14ac:dyDescent="0.25">
      <c r="A3732" s="4">
        <v>41994.899155092593</v>
      </c>
      <c r="B3732" s="2" t="s">
        <v>1056</v>
      </c>
      <c r="C3732" s="2" t="s">
        <v>63</v>
      </c>
      <c r="D3732" s="2" t="str">
        <f>"9781400851997"</f>
        <v>9781400851997</v>
      </c>
      <c r="E3732" s="2">
        <v>1718277</v>
      </c>
    </row>
    <row r="3733" spans="1:5" x14ac:dyDescent="0.25">
      <c r="A3733" s="4">
        <v>41900.620833333334</v>
      </c>
      <c r="B3733" s="2" t="s">
        <v>3834</v>
      </c>
      <c r="C3733" s="2" t="s">
        <v>1934</v>
      </c>
      <c r="D3733" s="2" t="str">
        <f>"9781472503510"</f>
        <v>9781472503510</v>
      </c>
      <c r="E3733" s="2">
        <v>1394941</v>
      </c>
    </row>
    <row r="3734" spans="1:5" x14ac:dyDescent="0.25">
      <c r="A3734" s="4">
        <v>41934.689849537041</v>
      </c>
      <c r="B3734" s="2" t="s">
        <v>3053</v>
      </c>
      <c r="C3734" s="2" t="s">
        <v>26</v>
      </c>
      <c r="D3734" s="2" t="str">
        <f>"9780787997403"</f>
        <v>9780787997403</v>
      </c>
      <c r="E3734" s="2">
        <v>315257</v>
      </c>
    </row>
    <row r="3735" spans="1:5" x14ac:dyDescent="0.25">
      <c r="A3735" s="4">
        <v>41862.708009259259</v>
      </c>
      <c r="B3735" s="2" t="s">
        <v>3959</v>
      </c>
      <c r="C3735" s="2" t="s">
        <v>26</v>
      </c>
      <c r="D3735" s="2" t="str">
        <f>"9780470563564"</f>
        <v>9780470563564</v>
      </c>
      <c r="E3735" s="2">
        <v>448877</v>
      </c>
    </row>
    <row r="3736" spans="1:5" x14ac:dyDescent="0.25">
      <c r="A3736" s="4">
        <v>41901.507025462961</v>
      </c>
      <c r="B3736" s="2" t="s">
        <v>3819</v>
      </c>
      <c r="C3736" s="2" t="s">
        <v>1934</v>
      </c>
      <c r="D3736" s="2" t="str">
        <f>"9781472536648"</f>
        <v>9781472536648</v>
      </c>
      <c r="E3736" s="2">
        <v>1334426</v>
      </c>
    </row>
    <row r="3737" spans="1:5" x14ac:dyDescent="0.25">
      <c r="A3737" s="4">
        <v>41994.905590277776</v>
      </c>
      <c r="B3737" s="2" t="s">
        <v>579</v>
      </c>
      <c r="C3737" s="2" t="s">
        <v>96</v>
      </c>
      <c r="D3737" s="2" t="str">
        <f>"9780807899359"</f>
        <v>9780807899359</v>
      </c>
      <c r="E3737" s="2">
        <v>605945</v>
      </c>
    </row>
    <row r="3738" spans="1:5" x14ac:dyDescent="0.25">
      <c r="A3738" s="4">
        <v>41925.575868055559</v>
      </c>
      <c r="B3738" s="2" t="s">
        <v>3274</v>
      </c>
      <c r="C3738" s="2" t="s">
        <v>63</v>
      </c>
      <c r="D3738" s="2" t="str">
        <f>"9781400830879"</f>
        <v>9781400830879</v>
      </c>
      <c r="E3738" s="2">
        <v>457889</v>
      </c>
    </row>
    <row r="3739" spans="1:5" x14ac:dyDescent="0.25">
      <c r="A3739" s="4">
        <v>41994.896180555559</v>
      </c>
      <c r="B3739" s="2" t="s">
        <v>1447</v>
      </c>
      <c r="C3739" s="2" t="s">
        <v>28</v>
      </c>
      <c r="D3739" s="2" t="str">
        <f>"9780253011909"</f>
        <v>9780253011909</v>
      </c>
      <c r="E3739" s="2">
        <v>1659373</v>
      </c>
    </row>
    <row r="3740" spans="1:5" x14ac:dyDescent="0.25">
      <c r="A3740" s="4">
        <v>41994.908229166664</v>
      </c>
      <c r="B3740" s="2" t="s">
        <v>232</v>
      </c>
      <c r="C3740" s="2" t="s">
        <v>26</v>
      </c>
      <c r="D3740" s="2" t="str">
        <f>"9781444395785"</f>
        <v>9781444395785</v>
      </c>
      <c r="E3740" s="2">
        <v>699322</v>
      </c>
    </row>
    <row r="3741" spans="1:5" x14ac:dyDescent="0.25">
      <c r="A3741" s="4">
        <v>41926.76599537037</v>
      </c>
      <c r="B3741" s="2" t="s">
        <v>3237</v>
      </c>
      <c r="C3741" s="2" t="s">
        <v>26</v>
      </c>
      <c r="D3741" s="2" t="str">
        <f>"9780470464588"</f>
        <v>9780470464588</v>
      </c>
      <c r="E3741" s="2">
        <v>510126</v>
      </c>
    </row>
    <row r="3742" spans="1:5" x14ac:dyDescent="0.25">
      <c r="A3742" s="4">
        <v>41994.899131944447</v>
      </c>
      <c r="B3742" s="2" t="s">
        <v>1116</v>
      </c>
      <c r="C3742" s="2" t="s">
        <v>63</v>
      </c>
      <c r="D3742" s="2" t="str">
        <f>"9781400850709"</f>
        <v>9781400850709</v>
      </c>
      <c r="E3742" s="2">
        <v>1538270</v>
      </c>
    </row>
    <row r="3743" spans="1:5" x14ac:dyDescent="0.25">
      <c r="A3743" s="4">
        <v>41994.901956018519</v>
      </c>
      <c r="B3743" s="2" t="s">
        <v>846</v>
      </c>
      <c r="C3743" s="2" t="s">
        <v>119</v>
      </c>
      <c r="D3743" s="2" t="str">
        <f>"9780520950528"</f>
        <v>9780520950528</v>
      </c>
      <c r="E3743" s="2">
        <v>743998</v>
      </c>
    </row>
    <row r="3744" spans="1:5" x14ac:dyDescent="0.25">
      <c r="A3744" s="4">
        <v>41976.095231481479</v>
      </c>
      <c r="B3744" s="2" t="s">
        <v>2731</v>
      </c>
      <c r="C3744" s="2" t="s">
        <v>26</v>
      </c>
      <c r="D3744" s="2" t="str">
        <f>"9781118217757"</f>
        <v>9781118217757</v>
      </c>
      <c r="E3744" s="2">
        <v>817904</v>
      </c>
    </row>
    <row r="3745" spans="1:5" x14ac:dyDescent="0.25">
      <c r="A3745" s="4">
        <v>41994.889826388891</v>
      </c>
      <c r="B3745" s="2" t="s">
        <v>1931</v>
      </c>
      <c r="C3745" s="2" t="s">
        <v>72</v>
      </c>
      <c r="D3745" s="2" t="str">
        <f>"9780748626267"</f>
        <v>9780748626267</v>
      </c>
      <c r="E3745" s="2">
        <v>275802</v>
      </c>
    </row>
    <row r="3746" spans="1:5" x14ac:dyDescent="0.25">
      <c r="A3746" s="4">
        <v>41977.573414351849</v>
      </c>
      <c r="B3746" s="2" t="s">
        <v>2609</v>
      </c>
      <c r="C3746" s="2" t="s">
        <v>7</v>
      </c>
      <c r="D3746" s="2" t="str">
        <f>"9781849204439"</f>
        <v>9781849204439</v>
      </c>
      <c r="E3746" s="2">
        <v>743679</v>
      </c>
    </row>
    <row r="3747" spans="1:5" x14ac:dyDescent="0.25">
      <c r="A3747" s="4">
        <v>41994.885034722225</v>
      </c>
      <c r="B3747" s="2" t="s">
        <v>2005</v>
      </c>
      <c r="C3747" s="2" t="s">
        <v>74</v>
      </c>
      <c r="D3747" s="2" t="str">
        <f>"9781441151049"</f>
        <v>9781441151049</v>
      </c>
      <c r="E3747" s="2">
        <v>1334379</v>
      </c>
    </row>
    <row r="3748" spans="1:5" x14ac:dyDescent="0.25">
      <c r="A3748" s="4">
        <v>41994.901944444442</v>
      </c>
      <c r="B3748" s="2" t="s">
        <v>892</v>
      </c>
      <c r="C3748" s="2" t="s">
        <v>119</v>
      </c>
      <c r="D3748" s="2" t="str">
        <f>"9780520943292"</f>
        <v>9780520943292</v>
      </c>
      <c r="E3748" s="2">
        <v>634401</v>
      </c>
    </row>
    <row r="3749" spans="1:5" x14ac:dyDescent="0.25">
      <c r="A3749" s="4">
        <v>41976.459756944445</v>
      </c>
      <c r="B3749" s="2" t="s">
        <v>2709</v>
      </c>
      <c r="C3749" s="2" t="s">
        <v>5</v>
      </c>
      <c r="D3749" s="2" t="str">
        <f>"9780857006905"</f>
        <v>9780857006905</v>
      </c>
      <c r="E3749" s="2">
        <v>1109891</v>
      </c>
    </row>
    <row r="3750" spans="1:5" x14ac:dyDescent="0.25">
      <c r="A3750" s="4">
        <v>41916.563530092593</v>
      </c>
      <c r="B3750" s="2" t="s">
        <v>3476</v>
      </c>
      <c r="C3750" s="2" t="s">
        <v>26</v>
      </c>
      <c r="D3750" s="2" t="str">
        <f>"9780470605431"</f>
        <v>9780470605431</v>
      </c>
      <c r="E3750" s="2">
        <v>469114</v>
      </c>
    </row>
    <row r="3751" spans="1:5" x14ac:dyDescent="0.25">
      <c r="A3751" s="4">
        <v>41994.901956018519</v>
      </c>
      <c r="B3751" s="2" t="s">
        <v>875</v>
      </c>
      <c r="C3751" s="2" t="s">
        <v>119</v>
      </c>
      <c r="D3751" s="2" t="str">
        <f>"9780520949454"</f>
        <v>9780520949454</v>
      </c>
      <c r="E3751" s="2">
        <v>675854</v>
      </c>
    </row>
    <row r="3752" spans="1:5" x14ac:dyDescent="0.25">
      <c r="A3752" s="4">
        <v>41994.892928240741</v>
      </c>
      <c r="B3752" s="2" t="s">
        <v>1682</v>
      </c>
      <c r="C3752" s="2" t="s">
        <v>16</v>
      </c>
      <c r="D3752" s="2" t="str">
        <f>"9781462504688"</f>
        <v>9781462504688</v>
      </c>
      <c r="E3752" s="2">
        <v>917257</v>
      </c>
    </row>
    <row r="3753" spans="1:5" x14ac:dyDescent="0.25">
      <c r="A3753" s="4">
        <v>41932.812997685185</v>
      </c>
      <c r="B3753" s="2" t="s">
        <v>3109</v>
      </c>
      <c r="C3753" s="2" t="s">
        <v>7</v>
      </c>
      <c r="D3753" s="2" t="str">
        <f>"9781452267159"</f>
        <v>9781452267159</v>
      </c>
      <c r="E3753" s="2">
        <v>996744</v>
      </c>
    </row>
    <row r="3754" spans="1:5" x14ac:dyDescent="0.25">
      <c r="A3754" s="4">
        <v>41994.88994212963</v>
      </c>
      <c r="B3754" s="2" t="s">
        <v>1795</v>
      </c>
      <c r="C3754" s="2" t="s">
        <v>72</v>
      </c>
      <c r="D3754" s="2" t="str">
        <f>"9780748692729"</f>
        <v>9780748692729</v>
      </c>
      <c r="E3754" s="2">
        <v>1767557</v>
      </c>
    </row>
    <row r="3755" spans="1:5" x14ac:dyDescent="0.25">
      <c r="A3755" s="4">
        <v>41975.873356481483</v>
      </c>
      <c r="B3755" s="2" t="s">
        <v>2765</v>
      </c>
      <c r="C3755" s="2" t="s">
        <v>2283</v>
      </c>
      <c r="D3755" s="2" t="str">
        <f>"9789027283474"</f>
        <v>9789027283474</v>
      </c>
      <c r="E3755" s="2">
        <v>784243</v>
      </c>
    </row>
    <row r="3756" spans="1:5" x14ac:dyDescent="0.25">
      <c r="A3756" s="4">
        <v>41994.902025462965</v>
      </c>
      <c r="B3756" s="2" t="s">
        <v>631</v>
      </c>
      <c r="C3756" s="2" t="s">
        <v>119</v>
      </c>
      <c r="D3756" s="2" t="str">
        <f>"9780520957695"</f>
        <v>9780520957695</v>
      </c>
      <c r="E3756" s="2">
        <v>1711061</v>
      </c>
    </row>
    <row r="3757" spans="1:5" x14ac:dyDescent="0.25">
      <c r="A3757" s="4">
        <v>41994.896157407406</v>
      </c>
      <c r="B3757" s="2" t="s">
        <v>1490</v>
      </c>
      <c r="C3757" s="2" t="s">
        <v>28</v>
      </c>
      <c r="D3757" s="2" t="str">
        <f>"9780253007575"</f>
        <v>9780253007575</v>
      </c>
      <c r="E3757" s="2">
        <v>1144288</v>
      </c>
    </row>
    <row r="3758" spans="1:5" x14ac:dyDescent="0.25">
      <c r="A3758" s="4">
        <v>41994.889930555553</v>
      </c>
      <c r="B3758" s="2" t="s">
        <v>1822</v>
      </c>
      <c r="C3758" s="2" t="s">
        <v>72</v>
      </c>
      <c r="D3758" s="2" t="str">
        <f>"9780748675470"</f>
        <v>9780748675470</v>
      </c>
      <c r="E3758" s="2">
        <v>1168207</v>
      </c>
    </row>
    <row r="3759" spans="1:5" x14ac:dyDescent="0.25">
      <c r="A3759" s="4">
        <v>42092.451979166668</v>
      </c>
      <c r="B3759" s="2" t="s">
        <v>2248</v>
      </c>
      <c r="C3759" s="2" t="s">
        <v>160</v>
      </c>
      <c r="D3759" s="2" t="str">
        <f>"9780471724193"</f>
        <v>9780471724193</v>
      </c>
      <c r="E3759" s="2">
        <v>226628</v>
      </c>
    </row>
    <row r="3760" spans="1:5" x14ac:dyDescent="0.25">
      <c r="A3760" s="4">
        <v>41913.970046296294</v>
      </c>
      <c r="B3760" s="2" t="s">
        <v>2248</v>
      </c>
      <c r="C3760" s="2" t="s">
        <v>160</v>
      </c>
      <c r="D3760" s="2" t="str">
        <f>"9780471724193"</f>
        <v>9780471724193</v>
      </c>
      <c r="E3760" s="2">
        <v>226628</v>
      </c>
    </row>
    <row r="3761" spans="1:5" x14ac:dyDescent="0.25">
      <c r="A3761" s="4">
        <v>42095.383796296293</v>
      </c>
      <c r="B3761" s="2" t="s">
        <v>2244</v>
      </c>
      <c r="C3761" s="2" t="s">
        <v>16</v>
      </c>
      <c r="D3761" s="2" t="str">
        <f>"9781609186395"</f>
        <v>9781609186395</v>
      </c>
      <c r="E3761" s="2">
        <v>759933</v>
      </c>
    </row>
    <row r="3762" spans="1:5" x14ac:dyDescent="0.25">
      <c r="A3762" s="4">
        <v>41833.487175925926</v>
      </c>
      <c r="B3762" s="2" t="s">
        <v>2244</v>
      </c>
      <c r="C3762" s="2" t="s">
        <v>16</v>
      </c>
      <c r="D3762" s="2" t="str">
        <f>"9781609186395"</f>
        <v>9781609186395</v>
      </c>
      <c r="E3762" s="2">
        <v>759933</v>
      </c>
    </row>
    <row r="3763" spans="1:5" x14ac:dyDescent="0.25">
      <c r="A3763" s="4">
        <v>41994.908229166664</v>
      </c>
      <c r="B3763" s="2" t="s">
        <v>198</v>
      </c>
      <c r="C3763" s="2" t="s">
        <v>26</v>
      </c>
      <c r="D3763" s="2" t="str">
        <f>"9781118163931"</f>
        <v>9781118163931</v>
      </c>
      <c r="E3763" s="2">
        <v>817406</v>
      </c>
    </row>
    <row r="3764" spans="1:5" x14ac:dyDescent="0.25">
      <c r="A3764" s="4">
        <v>43244.46802083333</v>
      </c>
      <c r="B3764" s="2" t="s">
        <v>11</v>
      </c>
      <c r="C3764" s="2" t="s">
        <v>5</v>
      </c>
      <c r="D3764" s="2" t="str">
        <f>"9780857012715"</f>
        <v>9780857012715</v>
      </c>
      <c r="E3764" s="2">
        <v>5124018</v>
      </c>
    </row>
    <row r="3765" spans="1:5" x14ac:dyDescent="0.25">
      <c r="A3765" s="4">
        <v>41994.892893518518</v>
      </c>
      <c r="B3765" s="2" t="s">
        <v>1782</v>
      </c>
      <c r="C3765" s="2" t="s">
        <v>16</v>
      </c>
      <c r="D3765" s="2" t="str">
        <f>"9781593856984"</f>
        <v>9781593856984</v>
      </c>
      <c r="E3765" s="2">
        <v>330595</v>
      </c>
    </row>
    <row r="3766" spans="1:5" x14ac:dyDescent="0.25">
      <c r="A3766" s="4">
        <v>41994.892928240741</v>
      </c>
      <c r="B3766" s="2" t="s">
        <v>1676</v>
      </c>
      <c r="C3766" s="2" t="s">
        <v>16</v>
      </c>
      <c r="D3766" s="2" t="str">
        <f>"9781462506989"</f>
        <v>9781462506989</v>
      </c>
      <c r="E3766" s="2">
        <v>1024334</v>
      </c>
    </row>
    <row r="3767" spans="1:5" x14ac:dyDescent="0.25">
      <c r="A3767" s="4">
        <v>41981.641898148147</v>
      </c>
      <c r="B3767" s="2" t="s">
        <v>2472</v>
      </c>
      <c r="C3767" s="2" t="s">
        <v>16</v>
      </c>
      <c r="D3767" s="2" t="str">
        <f>"9781462502684"</f>
        <v>9781462502684</v>
      </c>
      <c r="E3767" s="2">
        <v>819616</v>
      </c>
    </row>
    <row r="3768" spans="1:5" x14ac:dyDescent="0.25">
      <c r="A3768" s="4">
        <v>41904.216053240743</v>
      </c>
      <c r="B3768" s="2" t="s">
        <v>3786</v>
      </c>
      <c r="C3768" s="2" t="s">
        <v>119</v>
      </c>
      <c r="D3768" s="2" t="str">
        <f>"9780520957268"</f>
        <v>9780520957268</v>
      </c>
      <c r="E3768" s="2">
        <v>1495631</v>
      </c>
    </row>
    <row r="3769" spans="1:5" x14ac:dyDescent="0.25">
      <c r="A3769" s="4">
        <v>41994.905601851853</v>
      </c>
      <c r="B3769" s="2" t="s">
        <v>539</v>
      </c>
      <c r="C3769" s="2" t="s">
        <v>424</v>
      </c>
      <c r="D3769" s="2" t="str">
        <f>"9780807895627"</f>
        <v>9780807895627</v>
      </c>
      <c r="E3769" s="2">
        <v>837905</v>
      </c>
    </row>
    <row r="3770" spans="1:5" x14ac:dyDescent="0.25">
      <c r="A3770" s="4">
        <v>41986.438032407408</v>
      </c>
      <c r="B3770" s="2" t="s">
        <v>2325</v>
      </c>
      <c r="C3770" s="2" t="s">
        <v>119</v>
      </c>
      <c r="D3770" s="2" t="str">
        <f>"9780520947665"</f>
        <v>9780520947665</v>
      </c>
      <c r="E3770" s="2">
        <v>672390</v>
      </c>
    </row>
    <row r="3771" spans="1:5" x14ac:dyDescent="0.25">
      <c r="A3771" s="4">
        <v>41994.896168981482</v>
      </c>
      <c r="B3771" s="2" t="s">
        <v>1461</v>
      </c>
      <c r="C3771" s="2" t="s">
        <v>28</v>
      </c>
      <c r="D3771" s="2" t="str">
        <f>"9780253009791"</f>
        <v>9780253009791</v>
      </c>
      <c r="E3771" s="2">
        <v>1480840</v>
      </c>
    </row>
    <row r="3772" spans="1:5" x14ac:dyDescent="0.25">
      <c r="A3772" s="4">
        <v>41994.905613425923</v>
      </c>
      <c r="B3772" s="2" t="s">
        <v>494</v>
      </c>
      <c r="C3772" s="2" t="s">
        <v>424</v>
      </c>
      <c r="D3772" s="2" t="str">
        <f>"9780807837535"</f>
        <v>9780807837535</v>
      </c>
      <c r="E3772" s="2">
        <v>1035005</v>
      </c>
    </row>
    <row r="3773" spans="1:5" x14ac:dyDescent="0.25">
      <c r="A3773" s="4">
        <v>41925.384201388886</v>
      </c>
      <c r="B3773" s="2" t="s">
        <v>3282</v>
      </c>
      <c r="C3773" s="2" t="s">
        <v>36</v>
      </c>
      <c r="D3773" s="2" t="str">
        <f>"9781476615172"</f>
        <v>9781476615172</v>
      </c>
      <c r="E3773" s="2">
        <v>1653189</v>
      </c>
    </row>
    <row r="3774" spans="1:5" x14ac:dyDescent="0.25">
      <c r="A3774" s="4">
        <v>41994.908171296294</v>
      </c>
      <c r="B3774" s="2" t="s">
        <v>387</v>
      </c>
      <c r="C3774" s="2" t="s">
        <v>26</v>
      </c>
      <c r="D3774" s="2" t="str">
        <f>"9780787996000"</f>
        <v>9780787996000</v>
      </c>
      <c r="E3774" s="2">
        <v>288208</v>
      </c>
    </row>
    <row r="3775" spans="1:5" x14ac:dyDescent="0.25">
      <c r="A3775" s="4">
        <v>41922.695752314816</v>
      </c>
      <c r="B3775" s="2" t="s">
        <v>3315</v>
      </c>
      <c r="C3775" s="2" t="s">
        <v>7</v>
      </c>
      <c r="D3775" s="2" t="str">
        <f>"9781452247120"</f>
        <v>9781452247120</v>
      </c>
      <c r="E3775" s="2">
        <v>997037</v>
      </c>
    </row>
    <row r="3776" spans="1:5" x14ac:dyDescent="0.25">
      <c r="A3776" s="4">
        <v>41975.641516203701</v>
      </c>
      <c r="B3776" s="2" t="s">
        <v>2814</v>
      </c>
      <c r="C3776" s="2" t="s">
        <v>1934</v>
      </c>
      <c r="D3776" s="2" t="str">
        <f>"9781780936000"</f>
        <v>9781780936000</v>
      </c>
      <c r="E3776" s="2">
        <v>1224251</v>
      </c>
    </row>
    <row r="3777" spans="1:5" x14ac:dyDescent="0.25">
      <c r="A3777" s="4">
        <v>41983.850729166668</v>
      </c>
      <c r="B3777" s="2" t="s">
        <v>2387</v>
      </c>
      <c r="C3777" s="2" t="s">
        <v>63</v>
      </c>
      <c r="D3777" s="2" t="str">
        <f>"9781400825141"</f>
        <v>9781400825141</v>
      </c>
      <c r="E3777" s="2">
        <v>617369</v>
      </c>
    </row>
    <row r="3778" spans="1:5" x14ac:dyDescent="0.25">
      <c r="A3778" s="4">
        <v>41994.899050925924</v>
      </c>
      <c r="B3778" s="2" t="s">
        <v>1390</v>
      </c>
      <c r="C3778" s="2" t="s">
        <v>63</v>
      </c>
      <c r="D3778" s="2" t="str">
        <f>"9781400832033"</f>
        <v>9781400832033</v>
      </c>
      <c r="E3778" s="2">
        <v>483525</v>
      </c>
    </row>
    <row r="3779" spans="1:5" x14ac:dyDescent="0.25">
      <c r="A3779" s="4">
        <v>41975.826354166667</v>
      </c>
      <c r="B3779" s="2" t="s">
        <v>2777</v>
      </c>
      <c r="C3779" s="2" t="s">
        <v>119</v>
      </c>
      <c r="D3779" s="2" t="str">
        <f>"9780520923584"</f>
        <v>9780520923584</v>
      </c>
      <c r="E3779" s="2">
        <v>223960</v>
      </c>
    </row>
    <row r="3780" spans="1:5" x14ac:dyDescent="0.25">
      <c r="A3780" s="4">
        <v>41994.88994212963</v>
      </c>
      <c r="B3780" s="2" t="s">
        <v>1799</v>
      </c>
      <c r="C3780" s="2" t="s">
        <v>72</v>
      </c>
      <c r="D3780" s="2" t="str">
        <f>"9780748678181"</f>
        <v>9780748678181</v>
      </c>
      <c r="E3780" s="2">
        <v>1767547</v>
      </c>
    </row>
    <row r="3781" spans="1:5" x14ac:dyDescent="0.25">
      <c r="A3781" s="4">
        <v>41994.885000000002</v>
      </c>
      <c r="B3781" s="2" t="s">
        <v>2099</v>
      </c>
      <c r="C3781" s="2" t="s">
        <v>18</v>
      </c>
      <c r="D3781" s="2" t="str">
        <f>"9781441147271"</f>
        <v>9781441147271</v>
      </c>
      <c r="E3781" s="2">
        <v>711017</v>
      </c>
    </row>
    <row r="3782" spans="1:5" x14ac:dyDescent="0.25">
      <c r="A3782" s="4">
        <v>41975.661932870367</v>
      </c>
      <c r="B3782" s="2" t="s">
        <v>2808</v>
      </c>
      <c r="C3782" s="2" t="s">
        <v>18</v>
      </c>
      <c r="D3782" s="2" t="str">
        <f>"9781472518323"</f>
        <v>9781472518323</v>
      </c>
      <c r="E3782" s="2">
        <v>1645650</v>
      </c>
    </row>
    <row r="3783" spans="1:5" x14ac:dyDescent="0.25">
      <c r="A3783" s="4">
        <v>41980.587916666664</v>
      </c>
      <c r="B3783" s="2" t="s">
        <v>2510</v>
      </c>
      <c r="C3783" s="2" t="s">
        <v>28</v>
      </c>
      <c r="D3783" s="2" t="str">
        <f>"9780253001634"</f>
        <v>9780253001634</v>
      </c>
      <c r="E3783" s="2">
        <v>731392</v>
      </c>
    </row>
    <row r="3784" spans="1:5" x14ac:dyDescent="0.25">
      <c r="A3784" s="4">
        <v>41975.858564814815</v>
      </c>
      <c r="B3784" s="2" t="s">
        <v>2769</v>
      </c>
      <c r="C3784" s="2" t="s">
        <v>63</v>
      </c>
      <c r="D3784" s="2" t="str">
        <f>"9781400844623"</f>
        <v>9781400844623</v>
      </c>
      <c r="E3784" s="2">
        <v>1040747</v>
      </c>
    </row>
    <row r="3785" spans="1:5" x14ac:dyDescent="0.25">
      <c r="A3785" s="4">
        <v>41994.899143518516</v>
      </c>
      <c r="B3785" s="2" t="s">
        <v>1101</v>
      </c>
      <c r="C3785" s="2" t="s">
        <v>63</v>
      </c>
      <c r="D3785" s="2" t="str">
        <f>"9781400850891"</f>
        <v>9781400850891</v>
      </c>
      <c r="E3785" s="2">
        <v>1573480</v>
      </c>
    </row>
    <row r="3786" spans="1:5" x14ac:dyDescent="0.25">
      <c r="A3786" s="4">
        <v>41988.448263888888</v>
      </c>
      <c r="B3786" s="2" t="s">
        <v>2286</v>
      </c>
      <c r="C3786" s="2" t="s">
        <v>74</v>
      </c>
      <c r="D3786" s="2" t="str">
        <f>"9781623568269"</f>
        <v>9781623568269</v>
      </c>
      <c r="E3786" s="2">
        <v>1334414</v>
      </c>
    </row>
    <row r="3787" spans="1:5" x14ac:dyDescent="0.25">
      <c r="A3787" s="4">
        <v>41899.491840277777</v>
      </c>
      <c r="B3787" s="2" t="s">
        <v>3857</v>
      </c>
      <c r="C3787" s="2" t="s">
        <v>160</v>
      </c>
      <c r="D3787" s="2" t="str">
        <f>"9780470912911"</f>
        <v>9780470912911</v>
      </c>
      <c r="E3787" s="2">
        <v>588961</v>
      </c>
    </row>
    <row r="3788" spans="1:5" x14ac:dyDescent="0.25">
      <c r="A3788" s="4">
        <v>41929.510960648149</v>
      </c>
      <c r="B3788" s="2" t="s">
        <v>3175</v>
      </c>
      <c r="C3788" s="2" t="s">
        <v>2741</v>
      </c>
      <c r="D3788" s="2" t="str">
        <f>"9781841125411"</f>
        <v>9781841125411</v>
      </c>
      <c r="E3788" s="2">
        <v>101223</v>
      </c>
    </row>
    <row r="3789" spans="1:5" x14ac:dyDescent="0.25">
      <c r="A3789" s="4">
        <v>41929.080787037034</v>
      </c>
      <c r="B3789" s="2" t="s">
        <v>3183</v>
      </c>
      <c r="C3789" s="2" t="s">
        <v>119</v>
      </c>
      <c r="D3789" s="2" t="str">
        <f>"9780520940703"</f>
        <v>9780520940703</v>
      </c>
      <c r="E3789" s="2">
        <v>345572</v>
      </c>
    </row>
    <row r="3790" spans="1:5" x14ac:dyDescent="0.25">
      <c r="A3790" s="4">
        <v>43165.671157407407</v>
      </c>
      <c r="B3790" s="2" t="s">
        <v>80</v>
      </c>
      <c r="C3790" s="2" t="s">
        <v>5</v>
      </c>
      <c r="D3790" s="2" t="str">
        <f>"9781784503864"</f>
        <v>9781784503864</v>
      </c>
      <c r="E3790" s="2">
        <v>4813169</v>
      </c>
    </row>
    <row r="3791" spans="1:5" x14ac:dyDescent="0.25">
      <c r="A3791" s="4">
        <v>41994.901921296296</v>
      </c>
      <c r="B3791" s="2" t="s">
        <v>987</v>
      </c>
      <c r="C3791" s="2" t="s">
        <v>119</v>
      </c>
      <c r="D3791" s="2" t="str">
        <f>"9780520936935"</f>
        <v>9780520936935</v>
      </c>
      <c r="E3791" s="2">
        <v>227279</v>
      </c>
    </row>
    <row r="3792" spans="1:5" x14ac:dyDescent="0.25">
      <c r="A3792" s="4">
        <v>41914.892731481479</v>
      </c>
      <c r="B3792" s="2" t="s">
        <v>3503</v>
      </c>
      <c r="C3792" s="2" t="s">
        <v>36</v>
      </c>
      <c r="D3792" s="2" t="str">
        <f>"9781476615981"</f>
        <v>9781476615981</v>
      </c>
      <c r="E3792" s="2">
        <v>1688522</v>
      </c>
    </row>
    <row r="3793" spans="1:5" x14ac:dyDescent="0.25">
      <c r="A3793" s="4">
        <v>41994.901909722219</v>
      </c>
      <c r="B3793" s="2" t="s">
        <v>994</v>
      </c>
      <c r="C3793" s="2" t="s">
        <v>119</v>
      </c>
      <c r="D3793" s="2" t="str">
        <f>"9780520925090"</f>
        <v>9780520925090</v>
      </c>
      <c r="E3793" s="2">
        <v>224568</v>
      </c>
    </row>
    <row r="3794" spans="1:5" x14ac:dyDescent="0.25">
      <c r="A3794" s="4">
        <v>41994.901979166665</v>
      </c>
      <c r="B3794" s="2" t="s">
        <v>765</v>
      </c>
      <c r="C3794" s="2" t="s">
        <v>119</v>
      </c>
      <c r="D3794" s="2" t="str">
        <f>"9780520910041"</f>
        <v>9780520910041</v>
      </c>
      <c r="E3794" s="2">
        <v>922934</v>
      </c>
    </row>
    <row r="3795" spans="1:5" x14ac:dyDescent="0.25">
      <c r="A3795" s="4">
        <v>41919.580254629633</v>
      </c>
      <c r="B3795" s="2" t="s">
        <v>3392</v>
      </c>
      <c r="C3795" s="2" t="s">
        <v>26</v>
      </c>
      <c r="D3795" s="2" t="str">
        <f>"9781118229743"</f>
        <v>9781118229743</v>
      </c>
      <c r="E3795" s="2">
        <v>819147</v>
      </c>
    </row>
    <row r="3796" spans="1:5" x14ac:dyDescent="0.25">
      <c r="A3796" s="4">
        <v>41925.774988425925</v>
      </c>
      <c r="B3796" s="2" t="s">
        <v>3268</v>
      </c>
      <c r="C3796" s="2" t="s">
        <v>1934</v>
      </c>
      <c r="D3796" s="2" t="str">
        <f>"9781441128027"</f>
        <v>9781441128027</v>
      </c>
      <c r="E3796" s="2">
        <v>1050481</v>
      </c>
    </row>
    <row r="3797" spans="1:5" x14ac:dyDescent="0.25">
      <c r="A3797" s="4">
        <v>41814.359525462962</v>
      </c>
      <c r="B3797" s="2" t="s">
        <v>3994</v>
      </c>
      <c r="C3797" s="2" t="s">
        <v>5</v>
      </c>
      <c r="D3797" s="2" t="str">
        <f>"9781846425462"</f>
        <v>9781846425462</v>
      </c>
      <c r="E3797" s="2">
        <v>290959</v>
      </c>
    </row>
    <row r="3798" spans="1:5" x14ac:dyDescent="0.25">
      <c r="A3798" s="4">
        <v>41913.765497685185</v>
      </c>
      <c r="B3798" s="2" t="s">
        <v>3533</v>
      </c>
      <c r="C3798" s="2" t="s">
        <v>2404</v>
      </c>
      <c r="D3798" s="2" t="str">
        <f>"9780335246656"</f>
        <v>9780335246656</v>
      </c>
      <c r="E3798" s="2">
        <v>1220263</v>
      </c>
    </row>
    <row r="3799" spans="1:5" x14ac:dyDescent="0.25">
      <c r="A3799" s="4">
        <v>41912.658553240741</v>
      </c>
      <c r="B3799" s="2" t="s">
        <v>3554</v>
      </c>
      <c r="C3799" s="2" t="s">
        <v>5</v>
      </c>
      <c r="D3799" s="2" t="str">
        <f>"9780857005557"</f>
        <v>9780857005557</v>
      </c>
      <c r="E3799" s="2">
        <v>693121</v>
      </c>
    </row>
    <row r="3800" spans="1:5" x14ac:dyDescent="0.25">
      <c r="A3800" s="4">
        <v>41922.339548611111</v>
      </c>
      <c r="B3800" s="2" t="s">
        <v>3323</v>
      </c>
      <c r="C3800" s="2" t="s">
        <v>7</v>
      </c>
      <c r="D3800" s="2" t="str">
        <f>"9781452264783"</f>
        <v>9781452264783</v>
      </c>
      <c r="E3800" s="2">
        <v>997045</v>
      </c>
    </row>
    <row r="3801" spans="1:5" x14ac:dyDescent="0.25">
      <c r="A3801" s="4">
        <v>41994.908159722225</v>
      </c>
      <c r="B3801" s="2" t="s">
        <v>397</v>
      </c>
      <c r="C3801" s="2" t="s">
        <v>26</v>
      </c>
      <c r="D3801" s="2" t="str">
        <f>"9781405151917"</f>
        <v>9781405151917</v>
      </c>
      <c r="E3801" s="2">
        <v>243549</v>
      </c>
    </row>
    <row r="3802" spans="1:5" x14ac:dyDescent="0.25">
      <c r="A3802" s="4">
        <v>41901.595289351855</v>
      </c>
      <c r="B3802" s="2" t="s">
        <v>3818</v>
      </c>
      <c r="C3802" s="2" t="s">
        <v>7</v>
      </c>
      <c r="D3802" s="2" t="str">
        <f>"9781452223162"</f>
        <v>9781452223162</v>
      </c>
      <c r="E3802" s="2">
        <v>996323</v>
      </c>
    </row>
    <row r="3803" spans="1:5" x14ac:dyDescent="0.25">
      <c r="A3803" s="4">
        <v>41884.957442129627</v>
      </c>
      <c r="B3803" s="2" t="s">
        <v>3907</v>
      </c>
      <c r="C3803" s="2" t="s">
        <v>7</v>
      </c>
      <c r="D3803" s="2" t="str">
        <f>"9781446266199"</f>
        <v>9781446266199</v>
      </c>
      <c r="E3803" s="2">
        <v>1001328</v>
      </c>
    </row>
    <row r="3804" spans="1:5" x14ac:dyDescent="0.25">
      <c r="A3804" s="4">
        <v>41925.83189814815</v>
      </c>
      <c r="B3804" s="2" t="s">
        <v>3261</v>
      </c>
      <c r="C3804" s="2" t="s">
        <v>7</v>
      </c>
      <c r="D3804" s="2" t="str">
        <f>"9781848607262"</f>
        <v>9781848607262</v>
      </c>
      <c r="E3804" s="2">
        <v>366918</v>
      </c>
    </row>
    <row r="3805" spans="1:5" x14ac:dyDescent="0.25">
      <c r="A3805" s="4">
        <v>41914.935613425929</v>
      </c>
      <c r="B3805" s="2" t="s">
        <v>3501</v>
      </c>
      <c r="C3805" s="2" t="s">
        <v>1934</v>
      </c>
      <c r="D3805" s="2" t="str">
        <f>"9781441153555"</f>
        <v>9781441153555</v>
      </c>
      <c r="E3805" s="2">
        <v>601940</v>
      </c>
    </row>
    <row r="3806" spans="1:5" x14ac:dyDescent="0.25">
      <c r="A3806" s="4">
        <v>41994.892893518518</v>
      </c>
      <c r="B3806" s="2" t="s">
        <v>1776</v>
      </c>
      <c r="C3806" s="2" t="s">
        <v>16</v>
      </c>
      <c r="D3806" s="2" t="str">
        <f>"9781606230626"</f>
        <v>9781606230626</v>
      </c>
      <c r="E3806" s="2">
        <v>352290</v>
      </c>
    </row>
    <row r="3807" spans="1:5" x14ac:dyDescent="0.25">
      <c r="A3807" s="4">
        <v>41994.892951388887</v>
      </c>
      <c r="B3807" s="2" t="s">
        <v>1623</v>
      </c>
      <c r="C3807" s="2" t="s">
        <v>16</v>
      </c>
      <c r="D3807" s="2" t="str">
        <f>"9781462519385"</f>
        <v>9781462519385</v>
      </c>
      <c r="E3807" s="2">
        <v>1768755</v>
      </c>
    </row>
    <row r="3808" spans="1:5" x14ac:dyDescent="0.25">
      <c r="A3808" s="4">
        <v>41994.908194444448</v>
      </c>
      <c r="B3808" s="2" t="s">
        <v>328</v>
      </c>
      <c r="C3808" s="2" t="s">
        <v>26</v>
      </c>
      <c r="D3808" s="2" t="str">
        <f>"9781444323429"</f>
        <v>9781444323429</v>
      </c>
      <c r="E3808" s="2">
        <v>496073</v>
      </c>
    </row>
    <row r="3809" spans="1:5" x14ac:dyDescent="0.25">
      <c r="A3809" s="4">
        <v>41896.936099537037</v>
      </c>
      <c r="B3809" s="2" t="s">
        <v>3874</v>
      </c>
      <c r="C3809" s="2" t="s">
        <v>7</v>
      </c>
      <c r="D3809" s="2" t="str">
        <f>"9781446204603"</f>
        <v>9781446204603</v>
      </c>
      <c r="E3809" s="2">
        <v>1024090</v>
      </c>
    </row>
    <row r="3810" spans="1:5" x14ac:dyDescent="0.25">
      <c r="A3810" s="4">
        <v>41994.899085648147</v>
      </c>
      <c r="B3810" s="2" t="s">
        <v>1302</v>
      </c>
      <c r="C3810" s="2" t="s">
        <v>63</v>
      </c>
      <c r="D3810" s="2" t="str">
        <f>"9781400829484"</f>
        <v>9781400829484</v>
      </c>
      <c r="E3810" s="2">
        <v>710069</v>
      </c>
    </row>
    <row r="3811" spans="1:5" x14ac:dyDescent="0.25">
      <c r="A3811" s="4">
        <v>41994.889872685184</v>
      </c>
      <c r="B3811" s="2" t="s">
        <v>1882</v>
      </c>
      <c r="C3811" s="2" t="s">
        <v>72</v>
      </c>
      <c r="D3811" s="2" t="str">
        <f>"9780748643301"</f>
        <v>9780748643301</v>
      </c>
      <c r="E3811" s="2">
        <v>615835</v>
      </c>
    </row>
    <row r="3812" spans="1:5" x14ac:dyDescent="0.25">
      <c r="A3812" s="4">
        <v>41994.878750000003</v>
      </c>
      <c r="B3812" s="2" t="s">
        <v>2205</v>
      </c>
      <c r="C3812" s="2" t="s">
        <v>2170</v>
      </c>
      <c r="D3812" s="2" t="str">
        <f>"9781848135376"</f>
        <v>9781848135376</v>
      </c>
      <c r="E3812" s="2">
        <v>579120</v>
      </c>
    </row>
    <row r="3813" spans="1:5" x14ac:dyDescent="0.25">
      <c r="A3813" s="4">
        <v>42117.424768518518</v>
      </c>
      <c r="B3813" s="2" t="s">
        <v>2239</v>
      </c>
      <c r="C3813" s="2" t="s">
        <v>119</v>
      </c>
      <c r="D3813" s="2" t="str">
        <f>"9780520949904"</f>
        <v>9780520949904</v>
      </c>
      <c r="E3813" s="2">
        <v>740304</v>
      </c>
    </row>
    <row r="3814" spans="1:5" x14ac:dyDescent="0.25">
      <c r="A3814" s="4">
        <v>42038.539618055554</v>
      </c>
      <c r="B3814" s="2" t="s">
        <v>2239</v>
      </c>
      <c r="C3814" s="2" t="s">
        <v>119</v>
      </c>
      <c r="D3814" s="2" t="str">
        <f>"9780520949904"</f>
        <v>9780520949904</v>
      </c>
      <c r="E3814" s="2">
        <v>740304</v>
      </c>
    </row>
    <row r="3815" spans="1:5" x14ac:dyDescent="0.25">
      <c r="A3815" s="4">
        <v>41899.689641203702</v>
      </c>
      <c r="B3815" s="2" t="s">
        <v>2239</v>
      </c>
      <c r="C3815" s="2" t="s">
        <v>119</v>
      </c>
      <c r="D3815" s="2" t="str">
        <f>"9780520930476"</f>
        <v>9780520930476</v>
      </c>
      <c r="E3815" s="2">
        <v>224263</v>
      </c>
    </row>
    <row r="3816" spans="1:5" x14ac:dyDescent="0.25">
      <c r="A3816" s="4">
        <v>41834.37871527778</v>
      </c>
      <c r="B3816" s="2" t="s">
        <v>2239</v>
      </c>
      <c r="C3816" s="2" t="s">
        <v>119</v>
      </c>
      <c r="D3816" s="2" t="str">
        <f>"9780520949904"</f>
        <v>9780520949904</v>
      </c>
      <c r="E3816" s="2">
        <v>740304</v>
      </c>
    </row>
    <row r="3817" spans="1:5" x14ac:dyDescent="0.25">
      <c r="A3817" s="4">
        <v>41994.899039351854</v>
      </c>
      <c r="B3817" s="2" t="s">
        <v>1432</v>
      </c>
      <c r="C3817" s="2" t="s">
        <v>63</v>
      </c>
      <c r="D3817" s="2" t="str">
        <f>"9781400828357"</f>
        <v>9781400828357</v>
      </c>
      <c r="E3817" s="2">
        <v>445440</v>
      </c>
    </row>
    <row r="3818" spans="1:5" x14ac:dyDescent="0.25">
      <c r="A3818" s="4">
        <v>41994.902002314811</v>
      </c>
      <c r="B3818" s="2" t="s">
        <v>717</v>
      </c>
      <c r="C3818" s="2" t="s">
        <v>119</v>
      </c>
      <c r="D3818" s="2" t="str">
        <f>"9780520954601"</f>
        <v>9780520954601</v>
      </c>
      <c r="E3818" s="2">
        <v>1143402</v>
      </c>
    </row>
    <row r="3819" spans="1:5" x14ac:dyDescent="0.25">
      <c r="A3819" s="4">
        <v>41922.5234837963</v>
      </c>
      <c r="B3819" s="2" t="s">
        <v>3318</v>
      </c>
      <c r="C3819" s="2" t="s">
        <v>119</v>
      </c>
      <c r="D3819" s="2" t="str">
        <f>"9780520931862"</f>
        <v>9780520931862</v>
      </c>
      <c r="E3819" s="2">
        <v>227346</v>
      </c>
    </row>
    <row r="3820" spans="1:5" x14ac:dyDescent="0.25">
      <c r="A3820" s="4">
        <v>41915.761446759258</v>
      </c>
      <c r="B3820" s="2" t="s">
        <v>3487</v>
      </c>
      <c r="C3820" s="2" t="s">
        <v>16</v>
      </c>
      <c r="D3820" s="2" t="str">
        <f>"9781462506361"</f>
        <v>9781462506361</v>
      </c>
      <c r="E3820" s="2">
        <v>981495</v>
      </c>
    </row>
    <row r="3821" spans="1:5" x14ac:dyDescent="0.25">
      <c r="A3821" s="4">
        <v>41994.908194444448</v>
      </c>
      <c r="B3821" s="2" t="s">
        <v>325</v>
      </c>
      <c r="C3821" s="2" t="s">
        <v>160</v>
      </c>
      <c r="D3821" s="2" t="str">
        <f>"9780470637241"</f>
        <v>9780470637241</v>
      </c>
      <c r="E3821" s="2">
        <v>510224</v>
      </c>
    </row>
    <row r="3822" spans="1:5" x14ac:dyDescent="0.25">
      <c r="A3822" s="4">
        <v>41975.028831018521</v>
      </c>
      <c r="B3822" s="2" t="s">
        <v>2876</v>
      </c>
      <c r="C3822" s="2" t="s">
        <v>160</v>
      </c>
      <c r="D3822" s="2" t="str">
        <f>"9780470583265"</f>
        <v>9780470583265</v>
      </c>
      <c r="E3822" s="2">
        <v>468769</v>
      </c>
    </row>
    <row r="3823" spans="1:5" x14ac:dyDescent="0.25">
      <c r="A3823" s="4">
        <v>41994.899062500001</v>
      </c>
      <c r="B3823" s="2" t="s">
        <v>1369</v>
      </c>
      <c r="C3823" s="2" t="s">
        <v>63</v>
      </c>
      <c r="D3823" s="2" t="str">
        <f>"9781400823079"</f>
        <v>9781400823079</v>
      </c>
      <c r="E3823" s="2">
        <v>537725</v>
      </c>
    </row>
    <row r="3824" spans="1:5" x14ac:dyDescent="0.25">
      <c r="A3824" s="4">
        <v>41994.905590277776</v>
      </c>
      <c r="B3824" s="2" t="s">
        <v>557</v>
      </c>
      <c r="C3824" s="2" t="s">
        <v>96</v>
      </c>
      <c r="D3824" s="2" t="str">
        <f>"9780807877906"</f>
        <v>9780807877906</v>
      </c>
      <c r="E3824" s="2">
        <v>732136</v>
      </c>
    </row>
    <row r="3825" spans="1:5" x14ac:dyDescent="0.25">
      <c r="A3825" s="4">
        <v>41914.930960648147</v>
      </c>
      <c r="B3825" s="2" t="s">
        <v>3502</v>
      </c>
      <c r="C3825" s="2" t="s">
        <v>18</v>
      </c>
      <c r="D3825" s="2" t="str">
        <f>"9780857854988"</f>
        <v>9780857854988</v>
      </c>
      <c r="E3825" s="2">
        <v>1630368</v>
      </c>
    </row>
    <row r="3826" spans="1:5" x14ac:dyDescent="0.25">
      <c r="A3826" s="4">
        <v>41994.899085648147</v>
      </c>
      <c r="B3826" s="2" t="s">
        <v>1287</v>
      </c>
      <c r="C3826" s="2" t="s">
        <v>63</v>
      </c>
      <c r="D3826" s="2" t="str">
        <f>"9781400839964"</f>
        <v>9781400839964</v>
      </c>
      <c r="E3826" s="2">
        <v>729957</v>
      </c>
    </row>
    <row r="3827" spans="1:5" x14ac:dyDescent="0.25">
      <c r="A3827" s="4">
        <v>41935.540081018517</v>
      </c>
      <c r="B3827" s="2" t="s">
        <v>3032</v>
      </c>
      <c r="C3827" s="2" t="s">
        <v>63</v>
      </c>
      <c r="D3827" s="2" t="str">
        <f>"9781400823895"</f>
        <v>9781400823895</v>
      </c>
      <c r="E3827" s="2">
        <v>581541</v>
      </c>
    </row>
    <row r="3828" spans="1:5" x14ac:dyDescent="0.25">
      <c r="A3828" s="4">
        <v>41994.908229166664</v>
      </c>
      <c r="B3828" s="2" t="s">
        <v>208</v>
      </c>
      <c r="C3828" s="2" t="s">
        <v>26</v>
      </c>
      <c r="D3828" s="2" t="str">
        <f>"9780470979570"</f>
        <v>9780470979570</v>
      </c>
      <c r="E3828" s="2">
        <v>792466</v>
      </c>
    </row>
    <row r="3829" spans="1:5" x14ac:dyDescent="0.25">
      <c r="A3829" s="4">
        <v>41929.193460648145</v>
      </c>
      <c r="B3829" s="2" t="s">
        <v>3180</v>
      </c>
      <c r="C3829" s="2" t="s">
        <v>18</v>
      </c>
      <c r="D3829" s="2" t="str">
        <f>"9780567608086"</f>
        <v>9780567608086</v>
      </c>
      <c r="E3829" s="2">
        <v>436269</v>
      </c>
    </row>
    <row r="3830" spans="1:5" x14ac:dyDescent="0.25">
      <c r="A3830" s="4">
        <v>41931.745266203703</v>
      </c>
      <c r="B3830" s="2" t="s">
        <v>3136</v>
      </c>
      <c r="C3830" s="2" t="s">
        <v>63</v>
      </c>
      <c r="D3830" s="2" t="str">
        <f>"9781400834952"</f>
        <v>9781400834952</v>
      </c>
      <c r="E3830" s="2">
        <v>581539</v>
      </c>
    </row>
    <row r="3831" spans="1:5" x14ac:dyDescent="0.25">
      <c r="A3831" s="4">
        <v>41994.908159722225</v>
      </c>
      <c r="B3831" s="2" t="s">
        <v>402</v>
      </c>
      <c r="C3831" s="2" t="s">
        <v>26</v>
      </c>
      <c r="D3831" s="2" t="str">
        <f>"9780471740537"</f>
        <v>9780471740537</v>
      </c>
      <c r="E3831" s="2">
        <v>232646</v>
      </c>
    </row>
    <row r="3832" spans="1:5" x14ac:dyDescent="0.25">
      <c r="A3832" s="4">
        <v>41900.374432870369</v>
      </c>
      <c r="B3832" s="2" t="s">
        <v>402</v>
      </c>
      <c r="C3832" s="2" t="s">
        <v>26</v>
      </c>
      <c r="D3832" s="2" t="str">
        <f>"9780470889916"</f>
        <v>9780470889916</v>
      </c>
      <c r="E3832" s="2">
        <v>554974</v>
      </c>
    </row>
    <row r="3833" spans="1:5" x14ac:dyDescent="0.25">
      <c r="A3833" s="4">
        <v>41899.888298611113</v>
      </c>
      <c r="B3833" s="2" t="s">
        <v>3844</v>
      </c>
      <c r="C3833" s="2" t="s">
        <v>26</v>
      </c>
      <c r="D3833" s="2" t="str">
        <f>"9780470889947"</f>
        <v>9780470889947</v>
      </c>
      <c r="E3833" s="2">
        <v>554975</v>
      </c>
    </row>
    <row r="3834" spans="1:5" x14ac:dyDescent="0.25">
      <c r="A3834" s="4">
        <v>41994.908206018517</v>
      </c>
      <c r="B3834" s="2" t="s">
        <v>281</v>
      </c>
      <c r="C3834" s="2" t="s">
        <v>26</v>
      </c>
      <c r="D3834" s="2" t="str">
        <f>"9781118078174"</f>
        <v>9781118078174</v>
      </c>
      <c r="E3834" s="2">
        <v>674985</v>
      </c>
    </row>
    <row r="3835" spans="1:5" x14ac:dyDescent="0.25">
      <c r="A3835" s="4">
        <v>41926.045173611114</v>
      </c>
      <c r="B3835" s="2" t="s">
        <v>3258</v>
      </c>
      <c r="C3835" s="2" t="s">
        <v>26</v>
      </c>
      <c r="D3835" s="2" t="str">
        <f>"9780470901335"</f>
        <v>9780470901335</v>
      </c>
      <c r="E3835" s="2">
        <v>661490</v>
      </c>
    </row>
    <row r="3836" spans="1:5" x14ac:dyDescent="0.25">
      <c r="A3836" s="4">
        <v>41994.908194444448</v>
      </c>
      <c r="B3836" s="2" t="s">
        <v>318</v>
      </c>
      <c r="C3836" s="2" t="s">
        <v>26</v>
      </c>
      <c r="D3836" s="2" t="str">
        <f>"9780470685181"</f>
        <v>9780470685181</v>
      </c>
      <c r="E3836" s="2">
        <v>565074</v>
      </c>
    </row>
    <row r="3837" spans="1:5" x14ac:dyDescent="0.25">
      <c r="A3837" s="4">
        <v>41994.885057870371</v>
      </c>
      <c r="B3837" s="2" t="s">
        <v>1958</v>
      </c>
      <c r="C3837" s="2" t="s">
        <v>18</v>
      </c>
      <c r="D3837" s="2" t="str">
        <f>"9781441162083"</f>
        <v>9781441162083</v>
      </c>
      <c r="E3837" s="2">
        <v>1644307</v>
      </c>
    </row>
    <row r="3838" spans="1:5" x14ac:dyDescent="0.25">
      <c r="A3838" s="4">
        <v>41994.889907407407</v>
      </c>
      <c r="B3838" s="2" t="s">
        <v>1857</v>
      </c>
      <c r="C3838" s="2" t="s">
        <v>72</v>
      </c>
      <c r="D3838" s="2" t="str">
        <f>"9780748636556"</f>
        <v>9780748636556</v>
      </c>
      <c r="E3838" s="2">
        <v>821650</v>
      </c>
    </row>
    <row r="3839" spans="1:5" x14ac:dyDescent="0.25">
      <c r="A3839" s="4">
        <v>41923.924421296295</v>
      </c>
      <c r="B3839" s="2" t="s">
        <v>3299</v>
      </c>
      <c r="C3839" s="2" t="s">
        <v>160</v>
      </c>
      <c r="D3839" s="2" t="str">
        <f>"9780470888810"</f>
        <v>9780470888810</v>
      </c>
      <c r="E3839" s="2">
        <v>547165</v>
      </c>
    </row>
    <row r="3840" spans="1:5" x14ac:dyDescent="0.25">
      <c r="A3840" s="4">
        <v>41975.59778935185</v>
      </c>
      <c r="B3840" s="2" t="s">
        <v>2821</v>
      </c>
      <c r="C3840" s="2" t="s">
        <v>34</v>
      </c>
      <c r="D3840" s="2" t="str">
        <f>"9781845936501"</f>
        <v>9781845936501</v>
      </c>
      <c r="E3840" s="2">
        <v>740103</v>
      </c>
    </row>
    <row r="3841" spans="1:5" x14ac:dyDescent="0.25">
      <c r="A3841" s="4">
        <v>41994.901956018519</v>
      </c>
      <c r="B3841" s="2" t="s">
        <v>879</v>
      </c>
      <c r="C3841" s="2" t="s">
        <v>119</v>
      </c>
      <c r="D3841" s="2" t="str">
        <f>"9780520948624"</f>
        <v>9780520948624</v>
      </c>
      <c r="E3841" s="2">
        <v>669815</v>
      </c>
    </row>
    <row r="3842" spans="1:5" x14ac:dyDescent="0.25">
      <c r="A3842" s="4">
        <v>41994.899085648147</v>
      </c>
      <c r="B3842" s="2" t="s">
        <v>1300</v>
      </c>
      <c r="C3842" s="2" t="s">
        <v>63</v>
      </c>
      <c r="D3842" s="2" t="str">
        <f>"9781400840076"</f>
        <v>9781400840076</v>
      </c>
      <c r="E3842" s="2">
        <v>712179</v>
      </c>
    </row>
    <row r="3843" spans="1:5" x14ac:dyDescent="0.25">
      <c r="A3843" s="4">
        <v>41988.867303240739</v>
      </c>
      <c r="B3843" s="2" t="s">
        <v>2270</v>
      </c>
      <c r="C3843" s="2" t="s">
        <v>18</v>
      </c>
      <c r="D3843" s="2" t="str">
        <f>"9780857853196"</f>
        <v>9780857853196</v>
      </c>
      <c r="E3843" s="2">
        <v>1335916</v>
      </c>
    </row>
    <row r="3844" spans="1:5" x14ac:dyDescent="0.25">
      <c r="A3844" s="4">
        <v>41994.896099537036</v>
      </c>
      <c r="B3844" s="2" t="s">
        <v>1589</v>
      </c>
      <c r="C3844" s="2" t="s">
        <v>28</v>
      </c>
      <c r="D3844" s="2" t="str">
        <f>"9780253003430"</f>
        <v>9780253003430</v>
      </c>
      <c r="E3844" s="2">
        <v>474473</v>
      </c>
    </row>
    <row r="3845" spans="1:5" x14ac:dyDescent="0.25">
      <c r="A3845" s="4">
        <v>41994.889884259261</v>
      </c>
      <c r="B3845" s="2" t="s">
        <v>1874</v>
      </c>
      <c r="C3845" s="2" t="s">
        <v>72</v>
      </c>
      <c r="D3845" s="2" t="str">
        <f>"9780748631087"</f>
        <v>9780748631087</v>
      </c>
      <c r="E3845" s="2">
        <v>714136</v>
      </c>
    </row>
    <row r="3846" spans="1:5" x14ac:dyDescent="0.25">
      <c r="A3846" s="4">
        <v>41994.889861111114</v>
      </c>
      <c r="B3846" s="2" t="s">
        <v>1913</v>
      </c>
      <c r="C3846" s="2" t="s">
        <v>72</v>
      </c>
      <c r="D3846" s="2" t="str">
        <f>"9780748633050"</f>
        <v>9780748633050</v>
      </c>
      <c r="E3846" s="2">
        <v>434298</v>
      </c>
    </row>
    <row r="3847" spans="1:5" x14ac:dyDescent="0.25">
      <c r="A3847" s="4">
        <v>41994.885046296295</v>
      </c>
      <c r="B3847" s="2" t="s">
        <v>1978</v>
      </c>
      <c r="C3847" s="2" t="s">
        <v>18</v>
      </c>
      <c r="D3847" s="2" t="str">
        <f>"9781408148389"</f>
        <v>9781408148389</v>
      </c>
      <c r="E3847" s="2">
        <v>1572190</v>
      </c>
    </row>
    <row r="3848" spans="1:5" x14ac:dyDescent="0.25">
      <c r="A3848" s="4">
        <v>41994.889826388891</v>
      </c>
      <c r="B3848" s="2" t="s">
        <v>1928</v>
      </c>
      <c r="C3848" s="2" t="s">
        <v>72</v>
      </c>
      <c r="D3848" s="2" t="str">
        <f>"9780748628186"</f>
        <v>9780748628186</v>
      </c>
      <c r="E3848" s="2">
        <v>286993</v>
      </c>
    </row>
    <row r="3849" spans="1:5" x14ac:dyDescent="0.25">
      <c r="A3849" s="4">
        <v>43202.617280092592</v>
      </c>
      <c r="B3849" s="2" t="s">
        <v>58</v>
      </c>
      <c r="C3849" s="2" t="s">
        <v>36</v>
      </c>
      <c r="D3849" s="2" t="str">
        <f>"9781476626277"</f>
        <v>9781476626277</v>
      </c>
      <c r="E3849" s="2">
        <v>4602908</v>
      </c>
    </row>
    <row r="3850" spans="1:5" x14ac:dyDescent="0.25">
      <c r="A3850" s="4">
        <v>41994.901932870373</v>
      </c>
      <c r="B3850" s="2" t="s">
        <v>935</v>
      </c>
      <c r="C3850" s="2" t="s">
        <v>119</v>
      </c>
      <c r="D3850" s="2" t="str">
        <f>"9780520944602"</f>
        <v>9780520944602</v>
      </c>
      <c r="E3850" s="2">
        <v>470992</v>
      </c>
    </row>
    <row r="3851" spans="1:5" x14ac:dyDescent="0.25">
      <c r="A3851" s="4">
        <v>41994.905613425923</v>
      </c>
      <c r="B3851" s="2" t="s">
        <v>503</v>
      </c>
      <c r="C3851" s="2" t="s">
        <v>424</v>
      </c>
      <c r="D3851" s="2" t="str">
        <f>"9781469606552"</f>
        <v>9781469606552</v>
      </c>
      <c r="E3851" s="2">
        <v>934388</v>
      </c>
    </row>
    <row r="3852" spans="1:5" x14ac:dyDescent="0.25">
      <c r="A3852" s="4">
        <v>41994.899131944447</v>
      </c>
      <c r="B3852" s="2" t="s">
        <v>1125</v>
      </c>
      <c r="C3852" s="2" t="s">
        <v>63</v>
      </c>
      <c r="D3852" s="2" t="str">
        <f>"9781400831753"</f>
        <v>9781400831753</v>
      </c>
      <c r="E3852" s="2">
        <v>1460659</v>
      </c>
    </row>
    <row r="3853" spans="1:5" x14ac:dyDescent="0.25">
      <c r="A3853" s="4">
        <v>41981.570601851854</v>
      </c>
      <c r="B3853" s="2" t="s">
        <v>2475</v>
      </c>
      <c r="C3853" s="2" t="s">
        <v>5</v>
      </c>
      <c r="D3853" s="2" t="str">
        <f>"9780857003300"</f>
        <v>9780857003300</v>
      </c>
      <c r="E3853" s="2">
        <v>1122559</v>
      </c>
    </row>
    <row r="3854" spans="1:5" x14ac:dyDescent="0.25">
      <c r="A3854" s="4">
        <v>41994.901956018519</v>
      </c>
      <c r="B3854" s="2" t="s">
        <v>870</v>
      </c>
      <c r="C3854" s="2" t="s">
        <v>119</v>
      </c>
      <c r="D3854" s="2" t="str">
        <f>"9780520948730"</f>
        <v>9780520948730</v>
      </c>
      <c r="E3854" s="2">
        <v>685414</v>
      </c>
    </row>
    <row r="3855" spans="1:5" x14ac:dyDescent="0.25">
      <c r="A3855" s="4">
        <v>41979.371435185189</v>
      </c>
      <c r="B3855" s="2" t="s">
        <v>2548</v>
      </c>
      <c r="C3855" s="2" t="s">
        <v>26</v>
      </c>
      <c r="D3855" s="2" t="str">
        <f>"9780470677124"</f>
        <v>9780470677124</v>
      </c>
      <c r="E3855" s="2">
        <v>555032</v>
      </c>
    </row>
    <row r="3856" spans="1:5" x14ac:dyDescent="0.25">
      <c r="A3856" s="4">
        <v>41994.885046296295</v>
      </c>
      <c r="B3856" s="2" t="s">
        <v>1989</v>
      </c>
      <c r="C3856" s="2" t="s">
        <v>18</v>
      </c>
      <c r="D3856" s="2" t="str">
        <f>"9781472519832"</f>
        <v>9781472519832</v>
      </c>
      <c r="E3856" s="2">
        <v>1394943</v>
      </c>
    </row>
    <row r="3857" spans="1:5" x14ac:dyDescent="0.25">
      <c r="A3857" s="4">
        <v>41919.634814814817</v>
      </c>
      <c r="B3857" s="2" t="s">
        <v>3390</v>
      </c>
      <c r="C3857" s="2" t="s">
        <v>72</v>
      </c>
      <c r="D3857" s="2" t="str">
        <f>"9780748676446"</f>
        <v>9780748676446</v>
      </c>
      <c r="E3857" s="2">
        <v>1173637</v>
      </c>
    </row>
    <row r="3858" spans="1:5" x14ac:dyDescent="0.25">
      <c r="A3858" s="4">
        <v>41994.889872685184</v>
      </c>
      <c r="B3858" s="2" t="s">
        <v>1890</v>
      </c>
      <c r="C3858" s="2" t="s">
        <v>72</v>
      </c>
      <c r="D3858" s="2" t="str">
        <f>"9780748636761"</f>
        <v>9780748636761</v>
      </c>
      <c r="E3858" s="2">
        <v>581386</v>
      </c>
    </row>
    <row r="3859" spans="1:5" x14ac:dyDescent="0.25">
      <c r="A3859" s="4">
        <v>41994.889918981484</v>
      </c>
      <c r="B3859" s="2" t="s">
        <v>1833</v>
      </c>
      <c r="C3859" s="2" t="s">
        <v>72</v>
      </c>
      <c r="D3859" s="2" t="str">
        <f>"9780748654468"</f>
        <v>9780748654468</v>
      </c>
      <c r="E3859" s="2">
        <v>1126597</v>
      </c>
    </row>
    <row r="3860" spans="1:5" x14ac:dyDescent="0.25">
      <c r="A3860" s="4">
        <v>41920.523993055554</v>
      </c>
      <c r="B3860" s="2" t="s">
        <v>3370</v>
      </c>
      <c r="C3860" s="2" t="s">
        <v>74</v>
      </c>
      <c r="D3860" s="2" t="str">
        <f>"9781628921472"</f>
        <v>9781628921472</v>
      </c>
      <c r="E3860" s="2">
        <v>1580827</v>
      </c>
    </row>
    <row r="3861" spans="1:5" x14ac:dyDescent="0.25">
      <c r="A3861" s="4">
        <v>43207.554444444446</v>
      </c>
      <c r="B3861" s="2" t="s">
        <v>44</v>
      </c>
      <c r="C3861" s="2" t="s">
        <v>36</v>
      </c>
      <c r="D3861" s="2" t="str">
        <f>"9781476629360"</f>
        <v>9781476629360</v>
      </c>
      <c r="E3861" s="2">
        <v>5046825</v>
      </c>
    </row>
    <row r="3862" spans="1:5" x14ac:dyDescent="0.25">
      <c r="A3862" s="4">
        <v>41994.896168981482</v>
      </c>
      <c r="B3862" s="2" t="s">
        <v>1471</v>
      </c>
      <c r="C3862" s="2" t="s">
        <v>28</v>
      </c>
      <c r="D3862" s="2" t="str">
        <f>"9780253008947"</f>
        <v>9780253008947</v>
      </c>
      <c r="E3862" s="2">
        <v>1318555</v>
      </c>
    </row>
    <row r="3863" spans="1:5" x14ac:dyDescent="0.25">
      <c r="A3863" s="4">
        <v>41934.557708333334</v>
      </c>
      <c r="B3863" s="2" t="s">
        <v>3060</v>
      </c>
      <c r="C3863" s="2" t="s">
        <v>1934</v>
      </c>
      <c r="D3863" s="2" t="str">
        <f>"9781441174512"</f>
        <v>9781441174512</v>
      </c>
      <c r="E3863" s="2">
        <v>1426806</v>
      </c>
    </row>
    <row r="3864" spans="1:5" x14ac:dyDescent="0.25">
      <c r="A3864" s="4">
        <v>41994.899062500001</v>
      </c>
      <c r="B3864" s="2" t="s">
        <v>1358</v>
      </c>
      <c r="C3864" s="2" t="s">
        <v>63</v>
      </c>
      <c r="D3864" s="2" t="str">
        <f>"9781400820689"</f>
        <v>9781400820689</v>
      </c>
      <c r="E3864" s="2">
        <v>581649</v>
      </c>
    </row>
    <row r="3865" spans="1:5" x14ac:dyDescent="0.25">
      <c r="A3865" s="4">
        <v>41975.411770833336</v>
      </c>
      <c r="B3865" s="2" t="s">
        <v>2858</v>
      </c>
      <c r="C3865" s="2" t="s">
        <v>16</v>
      </c>
      <c r="D3865" s="2" t="str">
        <f>"9781606232330"</f>
        <v>9781606232330</v>
      </c>
      <c r="E3865" s="2">
        <v>362593</v>
      </c>
    </row>
    <row r="3866" spans="1:5" x14ac:dyDescent="0.25">
      <c r="A3866" s="4">
        <v>41994.892928240741</v>
      </c>
      <c r="B3866" s="2" t="s">
        <v>1684</v>
      </c>
      <c r="C3866" s="2" t="s">
        <v>16</v>
      </c>
      <c r="D3866" s="2" t="str">
        <f>"9781462503995"</f>
        <v>9781462503995</v>
      </c>
      <c r="E3866" s="2">
        <v>886778</v>
      </c>
    </row>
    <row r="3867" spans="1:5" x14ac:dyDescent="0.25">
      <c r="A3867" s="4">
        <v>41932.838807870372</v>
      </c>
      <c r="B3867" s="2" t="s">
        <v>3107</v>
      </c>
      <c r="C3867" s="2" t="s">
        <v>16</v>
      </c>
      <c r="D3867" s="2" t="str">
        <f>"9781462502905"</f>
        <v>9781462502905</v>
      </c>
      <c r="E3867" s="2">
        <v>862089</v>
      </c>
    </row>
    <row r="3868" spans="1:5" x14ac:dyDescent="0.25">
      <c r="A3868" s="4">
        <v>41994.878761574073</v>
      </c>
      <c r="B3868" s="2" t="s">
        <v>2180</v>
      </c>
      <c r="C3868" s="2" t="s">
        <v>2170</v>
      </c>
      <c r="D3868" s="2" t="str">
        <f>"9781783609697"</f>
        <v>9781783609697</v>
      </c>
      <c r="E3868" s="2">
        <v>1595478</v>
      </c>
    </row>
    <row r="3869" spans="1:5" x14ac:dyDescent="0.25">
      <c r="A3869" s="4">
        <v>41994.899097222224</v>
      </c>
      <c r="B3869" s="2" t="s">
        <v>1256</v>
      </c>
      <c r="C3869" s="2" t="s">
        <v>63</v>
      </c>
      <c r="D3869" s="2" t="str">
        <f>"9781400842858"</f>
        <v>9781400842858</v>
      </c>
      <c r="E3869" s="2">
        <v>827825</v>
      </c>
    </row>
    <row r="3870" spans="1:5" x14ac:dyDescent="0.25">
      <c r="A3870" s="4">
        <v>41994.901979166665</v>
      </c>
      <c r="B3870" s="2" t="s">
        <v>792</v>
      </c>
      <c r="C3870" s="2" t="s">
        <v>119</v>
      </c>
      <c r="D3870" s="2" t="str">
        <f>"9780520947931"</f>
        <v>9780520947931</v>
      </c>
      <c r="E3870" s="2">
        <v>870018</v>
      </c>
    </row>
    <row r="3871" spans="1:5" x14ac:dyDescent="0.25">
      <c r="A3871" s="4">
        <v>41935.842743055553</v>
      </c>
      <c r="B3871" s="2" t="s">
        <v>3014</v>
      </c>
      <c r="C3871" s="2" t="s">
        <v>160</v>
      </c>
      <c r="D3871" s="2" t="str">
        <f>"9781118127407"</f>
        <v>9781118127407</v>
      </c>
      <c r="E3871" s="2">
        <v>697552</v>
      </c>
    </row>
    <row r="3872" spans="1:5" x14ac:dyDescent="0.25">
      <c r="A3872" s="4">
        <v>41905.615555555552</v>
      </c>
      <c r="B3872" s="2" t="s">
        <v>3741</v>
      </c>
      <c r="C3872" s="2" t="s">
        <v>119</v>
      </c>
      <c r="D3872" s="2" t="str">
        <f>"9780520948266"</f>
        <v>9780520948266</v>
      </c>
      <c r="E3872" s="2">
        <v>631062</v>
      </c>
    </row>
    <row r="3873" spans="1:5" x14ac:dyDescent="0.25">
      <c r="A3873" s="4">
        <v>41994.892905092594</v>
      </c>
      <c r="B3873" s="2" t="s">
        <v>1757</v>
      </c>
      <c r="C3873" s="2" t="s">
        <v>16</v>
      </c>
      <c r="D3873" s="2" t="str">
        <f>"9781606233481"</f>
        <v>9781606233481</v>
      </c>
      <c r="E3873" s="2">
        <v>465657</v>
      </c>
    </row>
    <row r="3874" spans="1:5" x14ac:dyDescent="0.25">
      <c r="A3874" s="4">
        <v>41994.908206018517</v>
      </c>
      <c r="B3874" s="2" t="s">
        <v>275</v>
      </c>
      <c r="C3874" s="2" t="s">
        <v>26</v>
      </c>
      <c r="D3874" s="2" t="str">
        <f>"9780470873311"</f>
        <v>9780470873311</v>
      </c>
      <c r="E3874" s="2">
        <v>693244</v>
      </c>
    </row>
    <row r="3875" spans="1:5" x14ac:dyDescent="0.25">
      <c r="A3875" s="4">
        <v>41975.6253125</v>
      </c>
      <c r="B3875" s="2" t="s">
        <v>2815</v>
      </c>
      <c r="C3875" s="2" t="s">
        <v>96</v>
      </c>
      <c r="D3875" s="2" t="str">
        <f>"9781469612676"</f>
        <v>9781469612676</v>
      </c>
      <c r="E3875" s="2">
        <v>1220626</v>
      </c>
    </row>
    <row r="3876" spans="1:5" x14ac:dyDescent="0.25">
      <c r="A3876" s="4">
        <v>41994.89912037037</v>
      </c>
      <c r="B3876" s="2" t="s">
        <v>1188</v>
      </c>
      <c r="C3876" s="2" t="s">
        <v>63</v>
      </c>
      <c r="D3876" s="2" t="str">
        <f>"9781400846764"</f>
        <v>9781400846764</v>
      </c>
      <c r="E3876" s="2">
        <v>1114872</v>
      </c>
    </row>
    <row r="3877" spans="1:5" x14ac:dyDescent="0.25">
      <c r="A3877" s="4">
        <v>41994.899062500001</v>
      </c>
      <c r="B3877" s="2" t="s">
        <v>1367</v>
      </c>
      <c r="C3877" s="2" t="s">
        <v>63</v>
      </c>
      <c r="D3877" s="2" t="str">
        <f>"9781400824274"</f>
        <v>9781400824274</v>
      </c>
      <c r="E3877" s="2">
        <v>544781</v>
      </c>
    </row>
    <row r="3878" spans="1:5" x14ac:dyDescent="0.25">
      <c r="A3878" s="4">
        <v>41994.884976851848</v>
      </c>
      <c r="B3878" s="2" t="s">
        <v>2156</v>
      </c>
      <c r="C3878" s="2" t="s">
        <v>18</v>
      </c>
      <c r="D3878" s="2" t="str">
        <f>"9781847144591"</f>
        <v>9781847144591</v>
      </c>
      <c r="E3878" s="2">
        <v>436537</v>
      </c>
    </row>
    <row r="3879" spans="1:5" x14ac:dyDescent="0.25">
      <c r="A3879" s="4">
        <v>41994.899143518516</v>
      </c>
      <c r="B3879" s="2" t="s">
        <v>1088</v>
      </c>
      <c r="C3879" s="2" t="s">
        <v>63</v>
      </c>
      <c r="D3879" s="2" t="str">
        <f>"9781400850259"</f>
        <v>9781400850259</v>
      </c>
      <c r="E3879" s="2">
        <v>1603114</v>
      </c>
    </row>
    <row r="3880" spans="1:5" x14ac:dyDescent="0.25">
      <c r="A3880" s="4">
        <v>43187.532534722224</v>
      </c>
      <c r="B3880" s="2" t="s">
        <v>73</v>
      </c>
      <c r="C3880" s="2" t="s">
        <v>74</v>
      </c>
      <c r="D3880" s="2" t="str">
        <f>"9781628921656"</f>
        <v>9781628921656</v>
      </c>
      <c r="E3880" s="2">
        <v>1775287</v>
      </c>
    </row>
    <row r="3881" spans="1:5" x14ac:dyDescent="0.25">
      <c r="A3881" s="4">
        <v>41994.885046296295</v>
      </c>
      <c r="B3881" s="2" t="s">
        <v>1963</v>
      </c>
      <c r="C3881" s="2" t="s">
        <v>18</v>
      </c>
      <c r="D3881" s="2" t="str">
        <f>"9781472578129"</f>
        <v>9781472578129</v>
      </c>
      <c r="E3881" s="2">
        <v>1609920</v>
      </c>
    </row>
    <row r="3882" spans="1:5" x14ac:dyDescent="0.25">
      <c r="A3882" s="4">
        <v>43217.314699074072</v>
      </c>
      <c r="B3882" s="2" t="s">
        <v>41</v>
      </c>
      <c r="C3882" s="2" t="s">
        <v>36</v>
      </c>
      <c r="D3882" s="2" t="str">
        <f>"9780786454600"</f>
        <v>9780786454600</v>
      </c>
      <c r="E3882" s="2">
        <v>1594691</v>
      </c>
    </row>
    <row r="3883" spans="1:5" x14ac:dyDescent="0.25">
      <c r="A3883" s="4">
        <v>41994.899062500001</v>
      </c>
      <c r="B3883" s="2" t="s">
        <v>1376</v>
      </c>
      <c r="C3883" s="2" t="s">
        <v>63</v>
      </c>
      <c r="D3883" s="2" t="str">
        <f>"9781400831555"</f>
        <v>9781400831555</v>
      </c>
      <c r="E3883" s="2">
        <v>537666</v>
      </c>
    </row>
    <row r="3884" spans="1:5" x14ac:dyDescent="0.25">
      <c r="A3884" s="4">
        <v>41918.48170138889</v>
      </c>
      <c r="B3884" s="2" t="s">
        <v>3439</v>
      </c>
      <c r="C3884" s="2" t="s">
        <v>63</v>
      </c>
      <c r="D3884" s="2" t="str">
        <f>"9781400844746"</f>
        <v>9781400844746</v>
      </c>
      <c r="E3884" s="2">
        <v>1042899</v>
      </c>
    </row>
    <row r="3885" spans="1:5" x14ac:dyDescent="0.25">
      <c r="A3885" s="4">
        <v>41994.889930555553</v>
      </c>
      <c r="B3885" s="2" t="s">
        <v>1814</v>
      </c>
      <c r="C3885" s="2" t="s">
        <v>72</v>
      </c>
      <c r="D3885" s="2" t="str">
        <f>"9780748692385"</f>
        <v>9780748692385</v>
      </c>
      <c r="E3885" s="2">
        <v>1661290</v>
      </c>
    </row>
    <row r="3886" spans="1:5" x14ac:dyDescent="0.25">
      <c r="A3886" s="4">
        <v>41994.905601851853</v>
      </c>
      <c r="B3886" s="2" t="s">
        <v>545</v>
      </c>
      <c r="C3886" s="2" t="s">
        <v>96</v>
      </c>
      <c r="D3886" s="2" t="str">
        <f>"9780807869086"</f>
        <v>9780807869086</v>
      </c>
      <c r="E3886" s="2">
        <v>830255</v>
      </c>
    </row>
    <row r="3887" spans="1:5" x14ac:dyDescent="0.25">
      <c r="A3887" s="4">
        <v>43159.491446759261</v>
      </c>
      <c r="B3887" s="2" t="s">
        <v>84</v>
      </c>
      <c r="C3887" s="2" t="s">
        <v>36</v>
      </c>
      <c r="D3887" s="2" t="str">
        <f>"9780786452347"</f>
        <v>9780786452347</v>
      </c>
      <c r="E3887" s="2">
        <v>1594827</v>
      </c>
    </row>
    <row r="3888" spans="1:5" x14ac:dyDescent="0.25">
      <c r="A3888" s="4">
        <v>41976.693495370368</v>
      </c>
      <c r="B3888" s="2" t="s">
        <v>2645</v>
      </c>
      <c r="C3888" s="2" t="s">
        <v>26</v>
      </c>
      <c r="D3888" s="2" t="str">
        <f>"9780470730287"</f>
        <v>9780470730287</v>
      </c>
      <c r="E3888" s="2">
        <v>433792</v>
      </c>
    </row>
    <row r="3889" spans="1:5" x14ac:dyDescent="0.25">
      <c r="A3889" s="4">
        <v>41994.908182870371</v>
      </c>
      <c r="B3889" s="2" t="s">
        <v>331</v>
      </c>
      <c r="C3889" s="2" t="s">
        <v>26</v>
      </c>
      <c r="D3889" s="2" t="str">
        <f>"9781444318319"</f>
        <v>9781444318319</v>
      </c>
      <c r="E3889" s="2">
        <v>480472</v>
      </c>
    </row>
    <row r="3890" spans="1:5" x14ac:dyDescent="0.25">
      <c r="A3890" s="4">
        <v>41994.905636574076</v>
      </c>
      <c r="B3890" s="2" t="s">
        <v>423</v>
      </c>
      <c r="C3890" s="2" t="s">
        <v>424</v>
      </c>
      <c r="D3890" s="2" t="str">
        <f>"9781469618234"</f>
        <v>9781469618234</v>
      </c>
      <c r="E3890" s="2">
        <v>1790323</v>
      </c>
    </row>
    <row r="3891" spans="1:5" x14ac:dyDescent="0.25">
      <c r="A3891" s="4">
        <v>41994.905578703707</v>
      </c>
      <c r="B3891" s="2" t="s">
        <v>603</v>
      </c>
      <c r="C3891" s="2" t="s">
        <v>96</v>
      </c>
      <c r="D3891" s="2" t="str">
        <f>"9780807894217"</f>
        <v>9780807894217</v>
      </c>
      <c r="E3891" s="2">
        <v>454843</v>
      </c>
    </row>
    <row r="3892" spans="1:5" x14ac:dyDescent="0.25">
      <c r="A3892" s="4">
        <v>41994.902013888888</v>
      </c>
      <c r="B3892" s="2" t="s">
        <v>655</v>
      </c>
      <c r="C3892" s="2" t="s">
        <v>119</v>
      </c>
      <c r="D3892" s="2" t="str">
        <f>"9780520959026"</f>
        <v>9780520959026</v>
      </c>
      <c r="E3892" s="2">
        <v>1694267</v>
      </c>
    </row>
    <row r="3893" spans="1:5" x14ac:dyDescent="0.25">
      <c r="A3893" s="4">
        <v>41982.553680555553</v>
      </c>
      <c r="B3893" s="2" t="s">
        <v>2435</v>
      </c>
      <c r="C3893" s="2" t="s">
        <v>26</v>
      </c>
      <c r="D3893" s="2" t="str">
        <f>"9780470596425"</f>
        <v>9780470596425</v>
      </c>
      <c r="E3893" s="2">
        <v>529998</v>
      </c>
    </row>
    <row r="3894" spans="1:5" x14ac:dyDescent="0.25">
      <c r="A3894" s="4">
        <v>41914.771018518521</v>
      </c>
      <c r="B3894" s="2" t="s">
        <v>3509</v>
      </c>
      <c r="C3894" s="2" t="s">
        <v>205</v>
      </c>
      <c r="D3894" s="2" t="str">
        <f>"9780470358207"</f>
        <v>9780470358207</v>
      </c>
      <c r="E3894" s="2">
        <v>529983</v>
      </c>
    </row>
    <row r="3895" spans="1:5" x14ac:dyDescent="0.25">
      <c r="A3895" s="4">
        <v>41912.301562499997</v>
      </c>
      <c r="B3895" s="2" t="s">
        <v>3575</v>
      </c>
      <c r="C3895" s="2" t="s">
        <v>160</v>
      </c>
      <c r="D3895" s="2" t="str">
        <f>"9780764587832"</f>
        <v>9780764587832</v>
      </c>
      <c r="E3895" s="2">
        <v>221240</v>
      </c>
    </row>
    <row r="3896" spans="1:5" x14ac:dyDescent="0.25">
      <c r="A3896" s="4">
        <v>41911.875671296293</v>
      </c>
      <c r="B3896" s="2" t="s">
        <v>3580</v>
      </c>
      <c r="C3896" s="2" t="s">
        <v>160</v>
      </c>
      <c r="D3896" s="2" t="str">
        <f>"9780764569289"</f>
        <v>9780764569289</v>
      </c>
      <c r="E3896" s="2">
        <v>469838</v>
      </c>
    </row>
    <row r="3897" spans="1:5" x14ac:dyDescent="0.25">
      <c r="A3897" s="4">
        <v>41934.599699074075</v>
      </c>
      <c r="B3897" s="2" t="s">
        <v>3057</v>
      </c>
      <c r="C3897" s="2" t="s">
        <v>26</v>
      </c>
      <c r="D3897" s="2" t="str">
        <f>"9780470583500"</f>
        <v>9780470583500</v>
      </c>
      <c r="E3897" s="2">
        <v>469399</v>
      </c>
    </row>
    <row r="3898" spans="1:5" x14ac:dyDescent="0.25">
      <c r="A3898" s="4">
        <v>41926.34615740741</v>
      </c>
      <c r="B3898" s="2" t="s">
        <v>3255</v>
      </c>
      <c r="C3898" s="2" t="s">
        <v>119</v>
      </c>
      <c r="D3898" s="2" t="str">
        <f>"9780520958241"</f>
        <v>9780520958241</v>
      </c>
      <c r="E3898" s="2">
        <v>1597003</v>
      </c>
    </row>
    <row r="3899" spans="1:5" x14ac:dyDescent="0.25">
      <c r="A3899" s="4">
        <v>41984.636967592596</v>
      </c>
      <c r="B3899" s="2" t="s">
        <v>2358</v>
      </c>
      <c r="C3899" s="2" t="s">
        <v>119</v>
      </c>
      <c r="D3899" s="2" t="str">
        <f>"9780520949751"</f>
        <v>9780520949751</v>
      </c>
      <c r="E3899" s="2">
        <v>785216</v>
      </c>
    </row>
    <row r="3900" spans="1:5" x14ac:dyDescent="0.25">
      <c r="A3900" s="4">
        <v>41975.757384259261</v>
      </c>
      <c r="B3900" s="2" t="s">
        <v>2790</v>
      </c>
      <c r="C3900" s="2" t="s">
        <v>16</v>
      </c>
      <c r="D3900" s="2" t="str">
        <f>"9781606231869"</f>
        <v>9781606231869</v>
      </c>
      <c r="E3900" s="2">
        <v>362594</v>
      </c>
    </row>
    <row r="3901" spans="1:5" x14ac:dyDescent="0.25">
      <c r="A3901" s="4">
        <v>41994.89912037037</v>
      </c>
      <c r="B3901" s="2" t="s">
        <v>1173</v>
      </c>
      <c r="C3901" s="2" t="s">
        <v>63</v>
      </c>
      <c r="D3901" s="2" t="str">
        <f>"9781400847365"</f>
        <v>9781400847365</v>
      </c>
      <c r="E3901" s="2">
        <v>1135354</v>
      </c>
    </row>
    <row r="3902" spans="1:5" x14ac:dyDescent="0.25">
      <c r="A3902" s="4">
        <v>41994.901898148149</v>
      </c>
      <c r="B3902" s="2" t="s">
        <v>1044</v>
      </c>
      <c r="C3902" s="2" t="s">
        <v>119</v>
      </c>
      <c r="D3902" s="2" t="str">
        <f>"9780520924734"</f>
        <v>9780520924734</v>
      </c>
      <c r="E3902" s="2">
        <v>222927</v>
      </c>
    </row>
    <row r="3903" spans="1:5" x14ac:dyDescent="0.25">
      <c r="A3903" s="4">
        <v>41994.89912037037</v>
      </c>
      <c r="B3903" s="2" t="s">
        <v>1178</v>
      </c>
      <c r="C3903" s="2" t="s">
        <v>63</v>
      </c>
      <c r="D3903" s="2" t="str">
        <f>"9781400846788"</f>
        <v>9781400846788</v>
      </c>
      <c r="E3903" s="2">
        <v>1128484</v>
      </c>
    </row>
    <row r="3904" spans="1:5" x14ac:dyDescent="0.25">
      <c r="A3904" s="4">
        <v>41912.522476851853</v>
      </c>
      <c r="B3904" s="2" t="s">
        <v>3563</v>
      </c>
      <c r="C3904" s="2" t="s">
        <v>96</v>
      </c>
      <c r="D3904" s="2" t="str">
        <f>"9780807898246"</f>
        <v>9780807898246</v>
      </c>
      <c r="E3904" s="2">
        <v>565707</v>
      </c>
    </row>
    <row r="3905" spans="1:5" x14ac:dyDescent="0.25">
      <c r="A3905" s="4">
        <v>41975.537395833337</v>
      </c>
      <c r="B3905" s="2" t="s">
        <v>2832</v>
      </c>
      <c r="C3905" s="2" t="s">
        <v>36</v>
      </c>
      <c r="D3905" s="2" t="str">
        <f>"9780786492503"</f>
        <v>9780786492503</v>
      </c>
      <c r="E3905" s="2">
        <v>928922</v>
      </c>
    </row>
    <row r="3906" spans="1:5" x14ac:dyDescent="0.25">
      <c r="A3906" s="4">
        <v>41994.896122685182</v>
      </c>
      <c r="B3906" s="2" t="s">
        <v>1562</v>
      </c>
      <c r="C3906" s="2" t="s">
        <v>28</v>
      </c>
      <c r="D3906" s="2" t="str">
        <f>"9780253005052"</f>
        <v>9780253005052</v>
      </c>
      <c r="E3906" s="2">
        <v>670274</v>
      </c>
    </row>
    <row r="3907" spans="1:5" x14ac:dyDescent="0.25">
      <c r="A3907" s="4">
        <v>41994.885023148148</v>
      </c>
      <c r="B3907" s="2" t="s">
        <v>2035</v>
      </c>
      <c r="C3907" s="2" t="s">
        <v>18</v>
      </c>
      <c r="D3907" s="2" t="str">
        <f>"9781441188977"</f>
        <v>9781441188977</v>
      </c>
      <c r="E3907" s="2">
        <v>1126301</v>
      </c>
    </row>
    <row r="3908" spans="1:5" x14ac:dyDescent="0.25">
      <c r="A3908" s="4">
        <v>41984.502546296295</v>
      </c>
      <c r="B3908" s="2" t="s">
        <v>2372</v>
      </c>
      <c r="C3908" s="2" t="s">
        <v>119</v>
      </c>
      <c r="D3908" s="2" t="str">
        <f>"9780520923799"</f>
        <v>9780520923799</v>
      </c>
      <c r="E3908" s="2">
        <v>223029</v>
      </c>
    </row>
    <row r="3909" spans="1:5" x14ac:dyDescent="0.25">
      <c r="A3909" s="4">
        <v>41994.896122685182</v>
      </c>
      <c r="B3909" s="2" t="s">
        <v>1550</v>
      </c>
      <c r="C3909" s="2" t="s">
        <v>28</v>
      </c>
      <c r="D3909" s="2" t="str">
        <f>"9780253005588"</f>
        <v>9780253005588</v>
      </c>
      <c r="E3909" s="2">
        <v>670313</v>
      </c>
    </row>
    <row r="3910" spans="1:5" x14ac:dyDescent="0.25">
      <c r="A3910" s="4">
        <v>41902.514374999999</v>
      </c>
      <c r="B3910" s="2" t="s">
        <v>3808</v>
      </c>
      <c r="C3910" s="2" t="s">
        <v>26</v>
      </c>
      <c r="D3910" s="2" t="str">
        <f>"9780471150817"</f>
        <v>9780471150817</v>
      </c>
      <c r="E3910" s="2">
        <v>117862</v>
      </c>
    </row>
    <row r="3911" spans="1:5" x14ac:dyDescent="0.25">
      <c r="A3911" s="4">
        <v>43136.461273148147</v>
      </c>
      <c r="B3911" s="2" t="s">
        <v>113</v>
      </c>
      <c r="C3911" s="2" t="s">
        <v>5</v>
      </c>
      <c r="D3911" s="2" t="str">
        <f>"9780857012852"</f>
        <v>9780857012852</v>
      </c>
      <c r="E3911" s="2">
        <v>5124015</v>
      </c>
    </row>
    <row r="3912" spans="1:5" x14ac:dyDescent="0.25">
      <c r="A3912" s="4">
        <v>41994.889872685184</v>
      </c>
      <c r="B3912" s="2" t="s">
        <v>1877</v>
      </c>
      <c r="C3912" s="2" t="s">
        <v>72</v>
      </c>
      <c r="D3912" s="2" t="str">
        <f>"9780748644902"</f>
        <v>9780748644902</v>
      </c>
      <c r="E3912" s="2">
        <v>660508</v>
      </c>
    </row>
    <row r="3913" spans="1:5" x14ac:dyDescent="0.25">
      <c r="A3913" s="4">
        <v>41994.901967592596</v>
      </c>
      <c r="B3913" s="2" t="s">
        <v>808</v>
      </c>
      <c r="C3913" s="2" t="s">
        <v>119</v>
      </c>
      <c r="D3913" s="2" t="str">
        <f>"9780520916890"</f>
        <v>9780520916890</v>
      </c>
      <c r="E3913" s="2">
        <v>844024</v>
      </c>
    </row>
    <row r="3914" spans="1:5" x14ac:dyDescent="0.25">
      <c r="A3914" s="4">
        <v>41912.60365740741</v>
      </c>
      <c r="B3914" s="2" t="s">
        <v>3558</v>
      </c>
      <c r="C3914" s="2" t="s">
        <v>7</v>
      </c>
      <c r="D3914" s="2" t="str">
        <f>"9781446210420"</f>
        <v>9781446210420</v>
      </c>
      <c r="E3914" s="2">
        <v>689479</v>
      </c>
    </row>
    <row r="3915" spans="1:5" x14ac:dyDescent="0.25">
      <c r="A3915" s="4">
        <v>41994.901898148149</v>
      </c>
      <c r="B3915" s="2" t="s">
        <v>1037</v>
      </c>
      <c r="C3915" s="2" t="s">
        <v>119</v>
      </c>
      <c r="D3915" s="2" t="str">
        <f>"9780520928404"</f>
        <v>9780520928404</v>
      </c>
      <c r="E3915" s="2">
        <v>223040</v>
      </c>
    </row>
    <row r="3916" spans="1:5" x14ac:dyDescent="0.25">
      <c r="A3916" s="4">
        <v>41994.89912037037</v>
      </c>
      <c r="B3916" s="2" t="s">
        <v>1171</v>
      </c>
      <c r="C3916" s="2" t="s">
        <v>63</v>
      </c>
      <c r="D3916" s="2" t="str">
        <f>"9781400846795"</f>
        <v>9781400846795</v>
      </c>
      <c r="E3916" s="2">
        <v>1153313</v>
      </c>
    </row>
    <row r="3917" spans="1:5" x14ac:dyDescent="0.25">
      <c r="A3917" s="4">
        <v>41977.51326388889</v>
      </c>
      <c r="B3917" s="2" t="s">
        <v>2611</v>
      </c>
      <c r="C3917" s="2" t="s">
        <v>119</v>
      </c>
      <c r="D3917" s="2" t="str">
        <f>"9780520936980"</f>
        <v>9780520936980</v>
      </c>
      <c r="E3917" s="2">
        <v>224293</v>
      </c>
    </row>
    <row r="3918" spans="1:5" x14ac:dyDescent="0.25">
      <c r="A3918" s="4">
        <v>41901.86215277778</v>
      </c>
      <c r="B3918" s="2" t="s">
        <v>3815</v>
      </c>
      <c r="C3918" s="2" t="s">
        <v>26</v>
      </c>
      <c r="D3918" s="2" t="str">
        <f>"9781118116708"</f>
        <v>9781118116708</v>
      </c>
      <c r="E3918" s="2">
        <v>697712</v>
      </c>
    </row>
    <row r="3919" spans="1:5" x14ac:dyDescent="0.25">
      <c r="A3919" s="4">
        <v>41994.899039351854</v>
      </c>
      <c r="B3919" s="2" t="s">
        <v>1427</v>
      </c>
      <c r="C3919" s="2" t="s">
        <v>63</v>
      </c>
      <c r="D3919" s="2" t="str">
        <f>"9781400827602"</f>
        <v>9781400827602</v>
      </c>
      <c r="E3919" s="2">
        <v>445480</v>
      </c>
    </row>
    <row r="3920" spans="1:5" x14ac:dyDescent="0.25">
      <c r="A3920" s="4">
        <v>41994.899062500001</v>
      </c>
      <c r="B3920" s="2" t="s">
        <v>1356</v>
      </c>
      <c r="C3920" s="2" t="s">
        <v>63</v>
      </c>
      <c r="D3920" s="2" t="str">
        <f>"9781400821990"</f>
        <v>9781400821990</v>
      </c>
      <c r="E3920" s="2">
        <v>581664</v>
      </c>
    </row>
    <row r="3921" spans="1:5" x14ac:dyDescent="0.25">
      <c r="A3921" s="4">
        <v>41994.908229166664</v>
      </c>
      <c r="B3921" s="2" t="s">
        <v>214</v>
      </c>
      <c r="C3921" s="2" t="s">
        <v>26</v>
      </c>
      <c r="D3921" s="2" t="str">
        <f>"9780857082145"</f>
        <v>9780857082145</v>
      </c>
      <c r="E3921" s="2">
        <v>707737</v>
      </c>
    </row>
    <row r="3922" spans="1:5" x14ac:dyDescent="0.25">
      <c r="A3922" s="4">
        <v>41975.439293981479</v>
      </c>
      <c r="B3922" s="2" t="s">
        <v>2851</v>
      </c>
      <c r="C3922" s="2" t="s">
        <v>96</v>
      </c>
      <c r="D3922" s="2" t="str">
        <f>"9781469612669"</f>
        <v>9781469612669</v>
      </c>
      <c r="E3922" s="2">
        <v>1663513</v>
      </c>
    </row>
    <row r="3923" spans="1:5" x14ac:dyDescent="0.25">
      <c r="A3923" s="4">
        <v>41994.901979166665</v>
      </c>
      <c r="B3923" s="2" t="s">
        <v>791</v>
      </c>
      <c r="C3923" s="2" t="s">
        <v>119</v>
      </c>
      <c r="D3923" s="2" t="str">
        <f>"9780520922068"</f>
        <v>9780520922068</v>
      </c>
      <c r="E3923" s="2">
        <v>870019</v>
      </c>
    </row>
    <row r="3924" spans="1:5" x14ac:dyDescent="0.25">
      <c r="A3924" s="4">
        <v>41994.902002314811</v>
      </c>
      <c r="B3924" s="2" t="s">
        <v>688</v>
      </c>
      <c r="C3924" s="2" t="s">
        <v>119</v>
      </c>
      <c r="D3924" s="2" t="str">
        <f>"9780520957183"</f>
        <v>9780520957183</v>
      </c>
      <c r="E3924" s="2">
        <v>1504451</v>
      </c>
    </row>
    <row r="3925" spans="1:5" x14ac:dyDescent="0.25">
      <c r="A3925" s="4">
        <v>41994.899108796293</v>
      </c>
      <c r="B3925" s="2" t="s">
        <v>1227</v>
      </c>
      <c r="C3925" s="2" t="s">
        <v>63</v>
      </c>
      <c r="D3925" s="2" t="str">
        <f>"9781400842308"</f>
        <v>9781400842308</v>
      </c>
      <c r="E3925" s="2">
        <v>902770</v>
      </c>
    </row>
    <row r="3926" spans="1:5" x14ac:dyDescent="0.25">
      <c r="A3926" s="4">
        <v>41994.902013888888</v>
      </c>
      <c r="B3926" s="2" t="s">
        <v>684</v>
      </c>
      <c r="C3926" s="2" t="s">
        <v>119</v>
      </c>
      <c r="D3926" s="2" t="str">
        <f>"9780520957466"</f>
        <v>9780520957466</v>
      </c>
      <c r="E3926" s="2">
        <v>1574613</v>
      </c>
    </row>
    <row r="3927" spans="1:5" x14ac:dyDescent="0.25">
      <c r="A3927" s="4">
        <v>41994.89912037037</v>
      </c>
      <c r="B3927" s="2" t="s">
        <v>1169</v>
      </c>
      <c r="C3927" s="2" t="s">
        <v>63</v>
      </c>
      <c r="D3927" s="2" t="str">
        <f>"9781400846801"</f>
        <v>9781400846801</v>
      </c>
      <c r="E3927" s="2">
        <v>1158625</v>
      </c>
    </row>
    <row r="3928" spans="1:5" x14ac:dyDescent="0.25">
      <c r="A3928" s="4">
        <v>41979.727812500001</v>
      </c>
      <c r="B3928" s="2" t="s">
        <v>2535</v>
      </c>
      <c r="C3928" s="2" t="s">
        <v>26</v>
      </c>
      <c r="D3928" s="2" t="str">
        <f>"9781118030547"</f>
        <v>9781118030547</v>
      </c>
      <c r="E3928" s="2">
        <v>661491</v>
      </c>
    </row>
    <row r="3929" spans="1:5" x14ac:dyDescent="0.25">
      <c r="A3929" s="4">
        <v>41994.896168981482</v>
      </c>
      <c r="B3929" s="2" t="s">
        <v>1472</v>
      </c>
      <c r="C3929" s="2" t="s">
        <v>28</v>
      </c>
      <c r="D3929" s="2" t="str">
        <f>"9780253009609"</f>
        <v>9780253009609</v>
      </c>
      <c r="E3929" s="2">
        <v>1214550</v>
      </c>
    </row>
    <row r="3930" spans="1:5" x14ac:dyDescent="0.25">
      <c r="A3930" s="4">
        <v>41873.520729166667</v>
      </c>
      <c r="B3930" s="2" t="s">
        <v>3942</v>
      </c>
      <c r="C3930" s="2" t="s">
        <v>16</v>
      </c>
      <c r="D3930" s="2" t="str">
        <f>"9781462503612"</f>
        <v>9781462503612</v>
      </c>
      <c r="E3930" s="2">
        <v>873354</v>
      </c>
    </row>
    <row r="3931" spans="1:5" x14ac:dyDescent="0.25">
      <c r="A3931" s="4">
        <v>41919.726331018515</v>
      </c>
      <c r="B3931" s="2" t="s">
        <v>3387</v>
      </c>
      <c r="C3931" s="2" t="s">
        <v>63</v>
      </c>
      <c r="D3931" s="2" t="str">
        <f>"9781400851720"</f>
        <v>9781400851720</v>
      </c>
      <c r="E3931" s="2">
        <v>1691727</v>
      </c>
    </row>
    <row r="3932" spans="1:5" x14ac:dyDescent="0.25">
      <c r="A3932" s="4">
        <v>41994.905613425923</v>
      </c>
      <c r="B3932" s="2" t="s">
        <v>484</v>
      </c>
      <c r="C3932" s="2" t="s">
        <v>96</v>
      </c>
      <c r="D3932" s="2" t="str">
        <f>"9780807837559"</f>
        <v>9780807837559</v>
      </c>
      <c r="E3932" s="2">
        <v>1076065</v>
      </c>
    </row>
    <row r="3933" spans="1:5" x14ac:dyDescent="0.25">
      <c r="A3933" s="4">
        <v>41994.884976851848</v>
      </c>
      <c r="B3933" s="2" t="s">
        <v>2145</v>
      </c>
      <c r="C3933" s="2" t="s">
        <v>18</v>
      </c>
      <c r="D3933" s="2" t="str">
        <f>"9781847883322"</f>
        <v>9781847883322</v>
      </c>
      <c r="E3933" s="2">
        <v>483716</v>
      </c>
    </row>
    <row r="3934" spans="1:5" x14ac:dyDescent="0.25">
      <c r="A3934" s="4">
        <v>41994.908229166664</v>
      </c>
      <c r="B3934" s="2" t="s">
        <v>197</v>
      </c>
      <c r="C3934" s="2" t="s">
        <v>26</v>
      </c>
      <c r="D3934" s="2" t="str">
        <f>"9781118168578"</f>
        <v>9781118168578</v>
      </c>
      <c r="E3934" s="2">
        <v>817424</v>
      </c>
    </row>
    <row r="3935" spans="1:5" x14ac:dyDescent="0.25">
      <c r="A3935" s="4">
        <v>41989.428449074076</v>
      </c>
      <c r="B3935" s="2" t="s">
        <v>2264</v>
      </c>
      <c r="C3935" s="2" t="s">
        <v>424</v>
      </c>
      <c r="D3935" s="2" t="str">
        <f>"9780807876091"</f>
        <v>9780807876091</v>
      </c>
      <c r="E3935" s="2">
        <v>880312</v>
      </c>
    </row>
    <row r="3936" spans="1:5" x14ac:dyDescent="0.25">
      <c r="A3936" s="4">
        <v>41994.901909722219</v>
      </c>
      <c r="B3936" s="2" t="s">
        <v>1030</v>
      </c>
      <c r="C3936" s="2" t="s">
        <v>119</v>
      </c>
      <c r="D3936" s="2" t="str">
        <f>"9780520932531"</f>
        <v>9780520932531</v>
      </c>
      <c r="E3936" s="2">
        <v>223367</v>
      </c>
    </row>
    <row r="3937" spans="1:5" x14ac:dyDescent="0.25">
      <c r="A3937" s="4">
        <v>41994.901909722219</v>
      </c>
      <c r="B3937" s="2" t="s">
        <v>1014</v>
      </c>
      <c r="C3937" s="2" t="s">
        <v>119</v>
      </c>
      <c r="D3937" s="2" t="str">
        <f>"9780520938755"</f>
        <v>9780520938755</v>
      </c>
      <c r="E3937" s="2">
        <v>224032</v>
      </c>
    </row>
    <row r="3938" spans="1:5" x14ac:dyDescent="0.25">
      <c r="A3938" s="4">
        <v>41974.428460648145</v>
      </c>
      <c r="B3938" s="2" t="s">
        <v>2988</v>
      </c>
      <c r="C3938" s="2" t="s">
        <v>63</v>
      </c>
      <c r="D3938" s="2" t="str">
        <f>"9781400836314"</f>
        <v>9781400836314</v>
      </c>
      <c r="E3938" s="2">
        <v>590828</v>
      </c>
    </row>
    <row r="3939" spans="1:5" x14ac:dyDescent="0.25">
      <c r="A3939" s="4">
        <v>41905.622476851851</v>
      </c>
      <c r="B3939" s="2" t="s">
        <v>2988</v>
      </c>
      <c r="C3939" s="2" t="s">
        <v>63</v>
      </c>
      <c r="D3939" s="2" t="str">
        <f>"9781400845071"</f>
        <v>9781400845071</v>
      </c>
      <c r="E3939" s="2">
        <v>947987</v>
      </c>
    </row>
    <row r="3940" spans="1:5" x14ac:dyDescent="0.25">
      <c r="A3940" s="4">
        <v>41994.899085648147</v>
      </c>
      <c r="B3940" s="2" t="s">
        <v>1296</v>
      </c>
      <c r="C3940" s="2" t="s">
        <v>63</v>
      </c>
      <c r="D3940" s="2" t="str">
        <f>"9781400839247"</f>
        <v>9781400839247</v>
      </c>
      <c r="E3940" s="2">
        <v>726050</v>
      </c>
    </row>
    <row r="3941" spans="1:5" x14ac:dyDescent="0.25">
      <c r="A3941" s="4">
        <v>41994.899108796293</v>
      </c>
      <c r="B3941" s="2" t="s">
        <v>1220</v>
      </c>
      <c r="C3941" s="2" t="s">
        <v>63</v>
      </c>
      <c r="D3941" s="2" t="str">
        <f>"9781400833047"</f>
        <v>9781400833047</v>
      </c>
      <c r="E3941" s="2">
        <v>931260</v>
      </c>
    </row>
    <row r="3942" spans="1:5" x14ac:dyDescent="0.25">
      <c r="A3942" s="4">
        <v>41994.899108796293</v>
      </c>
      <c r="B3942" s="2" t="s">
        <v>1232</v>
      </c>
      <c r="C3942" s="2" t="s">
        <v>63</v>
      </c>
      <c r="D3942" s="2" t="str">
        <f>"9781400842513"</f>
        <v>9781400842513</v>
      </c>
      <c r="E3942" s="2">
        <v>879140</v>
      </c>
    </row>
    <row r="3943" spans="1:5" x14ac:dyDescent="0.25">
      <c r="A3943" s="4">
        <v>41984.630914351852</v>
      </c>
      <c r="B3943" s="2" t="s">
        <v>2360</v>
      </c>
      <c r="C3943" s="2" t="s">
        <v>119</v>
      </c>
      <c r="D3943" s="2" t="str">
        <f>"9780520952171"</f>
        <v>9780520952171</v>
      </c>
      <c r="E3943" s="2">
        <v>860288</v>
      </c>
    </row>
    <row r="3944" spans="1:5" x14ac:dyDescent="0.25">
      <c r="A3944" s="4">
        <v>41994.901909722219</v>
      </c>
      <c r="B3944" s="2" t="s">
        <v>996</v>
      </c>
      <c r="C3944" s="2" t="s">
        <v>119</v>
      </c>
      <c r="D3944" s="2" t="str">
        <f>"9780520937949"</f>
        <v>9780520937949</v>
      </c>
      <c r="E3944" s="2">
        <v>224495</v>
      </c>
    </row>
    <row r="3945" spans="1:5" x14ac:dyDescent="0.25">
      <c r="A3945" s="4">
        <v>41898.700300925928</v>
      </c>
      <c r="B3945" s="2" t="s">
        <v>3862</v>
      </c>
      <c r="C3945" s="2" t="s">
        <v>26</v>
      </c>
      <c r="D3945" s="2" t="str">
        <f>"9780470730430"</f>
        <v>9780470730430</v>
      </c>
      <c r="E3945" s="2">
        <v>433919</v>
      </c>
    </row>
    <row r="3946" spans="1:5" x14ac:dyDescent="0.25">
      <c r="A3946" s="4">
        <v>41994.899074074077</v>
      </c>
      <c r="B3946" s="2" t="s">
        <v>1322</v>
      </c>
      <c r="C3946" s="2" t="s">
        <v>63</v>
      </c>
      <c r="D3946" s="2" t="str">
        <f>"9781400835997"</f>
        <v>9781400835997</v>
      </c>
      <c r="E3946" s="2">
        <v>664599</v>
      </c>
    </row>
    <row r="3947" spans="1:5" x14ac:dyDescent="0.25">
      <c r="A3947" s="4">
        <v>41994.899143518516</v>
      </c>
      <c r="B3947" s="2" t="s">
        <v>1110</v>
      </c>
      <c r="C3947" s="2" t="s">
        <v>63</v>
      </c>
      <c r="D3947" s="2" t="str">
        <f>"9781400850044"</f>
        <v>9781400850044</v>
      </c>
      <c r="E3947" s="2">
        <v>1568775</v>
      </c>
    </row>
    <row r="3948" spans="1:5" x14ac:dyDescent="0.25">
      <c r="A3948" s="4">
        <v>41976.555856481478</v>
      </c>
      <c r="B3948" s="2" t="s">
        <v>2688</v>
      </c>
      <c r="C3948" s="2" t="s">
        <v>119</v>
      </c>
      <c r="D3948" s="2" t="str">
        <f>"9780520953987"</f>
        <v>9780520953987</v>
      </c>
      <c r="E3948" s="2">
        <v>1040632</v>
      </c>
    </row>
    <row r="3949" spans="1:5" x14ac:dyDescent="0.25">
      <c r="A3949" s="4">
        <v>41994.899062500001</v>
      </c>
      <c r="B3949" s="2" t="s">
        <v>1377</v>
      </c>
      <c r="C3949" s="2" t="s">
        <v>63</v>
      </c>
      <c r="D3949" s="2" t="str">
        <f>"9781400830633"</f>
        <v>9781400830633</v>
      </c>
      <c r="E3949" s="2">
        <v>537658</v>
      </c>
    </row>
    <row r="3950" spans="1:5" x14ac:dyDescent="0.25">
      <c r="A3950" s="4">
        <v>41994.89912037037</v>
      </c>
      <c r="B3950" s="2" t="s">
        <v>1198</v>
      </c>
      <c r="C3950" s="2" t="s">
        <v>63</v>
      </c>
      <c r="D3950" s="2" t="str">
        <f>"9781400846818"</f>
        <v>9781400846818</v>
      </c>
      <c r="E3950" s="2">
        <v>1084829</v>
      </c>
    </row>
    <row r="3951" spans="1:5" x14ac:dyDescent="0.25">
      <c r="A3951" s="4">
        <v>41984.973599537036</v>
      </c>
      <c r="B3951" s="2" t="s">
        <v>2346</v>
      </c>
      <c r="C3951" s="2" t="s">
        <v>63</v>
      </c>
      <c r="D3951" s="2" t="str">
        <f>"9781400837564"</f>
        <v>9781400837564</v>
      </c>
      <c r="E3951" s="2">
        <v>646749</v>
      </c>
    </row>
    <row r="3952" spans="1:5" x14ac:dyDescent="0.25">
      <c r="A3952" s="4">
        <v>41918.504050925927</v>
      </c>
      <c r="B3952" s="2" t="s">
        <v>3436</v>
      </c>
      <c r="C3952" s="2" t="s">
        <v>63</v>
      </c>
      <c r="D3952" s="2" t="str">
        <f>"9781400821853"</f>
        <v>9781400821853</v>
      </c>
      <c r="E3952" s="2">
        <v>581635</v>
      </c>
    </row>
    <row r="3953" spans="1:5" x14ac:dyDescent="0.25">
      <c r="A3953" s="4">
        <v>41907.42291666667</v>
      </c>
      <c r="B3953" s="2" t="s">
        <v>3686</v>
      </c>
      <c r="C3953" s="2" t="s">
        <v>63</v>
      </c>
      <c r="D3953" s="2" t="str">
        <f>"9781400844852"</f>
        <v>9781400844852</v>
      </c>
      <c r="E3953" s="2">
        <v>1042903</v>
      </c>
    </row>
    <row r="3954" spans="1:5" x14ac:dyDescent="0.25">
      <c r="A3954" s="4">
        <v>41975.051099537035</v>
      </c>
      <c r="B3954" s="2" t="s">
        <v>2875</v>
      </c>
      <c r="C3954" s="2" t="s">
        <v>2283</v>
      </c>
      <c r="D3954" s="2" t="str">
        <f>"9789027298485"</f>
        <v>9789027298485</v>
      </c>
      <c r="E3954" s="2">
        <v>623288</v>
      </c>
    </row>
    <row r="3955" spans="1:5" x14ac:dyDescent="0.25">
      <c r="A3955" s="4">
        <v>41994.908171296294</v>
      </c>
      <c r="B3955" s="2" t="s">
        <v>380</v>
      </c>
      <c r="C3955" s="2" t="s">
        <v>26</v>
      </c>
      <c r="D3955" s="2" t="str">
        <f>"9781405181457"</f>
        <v>9781405181457</v>
      </c>
      <c r="E3955" s="2">
        <v>320118</v>
      </c>
    </row>
    <row r="3956" spans="1:5" x14ac:dyDescent="0.25">
      <c r="A3956" s="4">
        <v>41994.901967592596</v>
      </c>
      <c r="B3956" s="2" t="s">
        <v>825</v>
      </c>
      <c r="C3956" s="2" t="s">
        <v>119</v>
      </c>
      <c r="D3956" s="2" t="str">
        <f>"9780520937116"</f>
        <v>9780520937116</v>
      </c>
      <c r="E3956" s="2">
        <v>837170</v>
      </c>
    </row>
    <row r="3957" spans="1:5" x14ac:dyDescent="0.25">
      <c r="A3957" s="4">
        <v>41994.899074074077</v>
      </c>
      <c r="B3957" s="2" t="s">
        <v>1327</v>
      </c>
      <c r="C3957" s="2" t="s">
        <v>63</v>
      </c>
      <c r="D3957" s="2" t="str">
        <f>"9781400837786"</f>
        <v>9781400837786</v>
      </c>
      <c r="E3957" s="2">
        <v>664577</v>
      </c>
    </row>
    <row r="3958" spans="1:5" x14ac:dyDescent="0.25">
      <c r="A3958" s="4">
        <v>41994.885011574072</v>
      </c>
      <c r="B3958" s="2" t="s">
        <v>2066</v>
      </c>
      <c r="C3958" s="2" t="s">
        <v>1934</v>
      </c>
      <c r="D3958" s="2" t="str">
        <f>"9781408121429"</f>
        <v>9781408121429</v>
      </c>
      <c r="E3958" s="2">
        <v>833542</v>
      </c>
    </row>
    <row r="3959" spans="1:5" x14ac:dyDescent="0.25">
      <c r="A3959" s="4">
        <v>41994.899143518516</v>
      </c>
      <c r="B3959" s="2" t="s">
        <v>1076</v>
      </c>
      <c r="C3959" s="2" t="s">
        <v>63</v>
      </c>
      <c r="D3959" s="2" t="str">
        <f>"9781400851690"</f>
        <v>9781400851690</v>
      </c>
      <c r="E3959" s="2">
        <v>1651872</v>
      </c>
    </row>
    <row r="3960" spans="1:5" x14ac:dyDescent="0.25">
      <c r="A3960" s="4">
        <v>41976.624988425923</v>
      </c>
      <c r="B3960" s="2" t="s">
        <v>2661</v>
      </c>
      <c r="C3960" s="2" t="s">
        <v>26</v>
      </c>
      <c r="D3960" s="2" t="str">
        <f>"9781118295045"</f>
        <v>9781118295045</v>
      </c>
      <c r="E3960" s="2">
        <v>826867</v>
      </c>
    </row>
    <row r="3961" spans="1:5" x14ac:dyDescent="0.25">
      <c r="A3961" s="4">
        <v>41994.896168981482</v>
      </c>
      <c r="B3961" s="2" t="s">
        <v>1453</v>
      </c>
      <c r="C3961" s="2" t="s">
        <v>28</v>
      </c>
      <c r="D3961" s="2" t="str">
        <f>"9780253011770"</f>
        <v>9780253011770</v>
      </c>
      <c r="E3961" s="2">
        <v>1584790</v>
      </c>
    </row>
    <row r="3962" spans="1:5" x14ac:dyDescent="0.25">
      <c r="A3962" s="4">
        <v>41994.884988425925</v>
      </c>
      <c r="B3962" s="2" t="s">
        <v>2131</v>
      </c>
      <c r="C3962" s="2" t="s">
        <v>18</v>
      </c>
      <c r="D3962" s="2" t="str">
        <f>"9781441104816"</f>
        <v>9781441104816</v>
      </c>
      <c r="E3962" s="2">
        <v>601633</v>
      </c>
    </row>
    <row r="3963" spans="1:5" x14ac:dyDescent="0.25">
      <c r="A3963" s="4">
        <v>41994.901956018519</v>
      </c>
      <c r="B3963" s="2" t="s">
        <v>862</v>
      </c>
      <c r="C3963" s="2" t="s">
        <v>119</v>
      </c>
      <c r="D3963" s="2" t="str">
        <f>"9780520950054"</f>
        <v>9780520950054</v>
      </c>
      <c r="E3963" s="2">
        <v>718659</v>
      </c>
    </row>
    <row r="3964" spans="1:5" x14ac:dyDescent="0.25">
      <c r="A3964" s="4">
        <v>41994.908182870371</v>
      </c>
      <c r="B3964" s="2" t="s">
        <v>344</v>
      </c>
      <c r="C3964" s="2" t="s">
        <v>160</v>
      </c>
      <c r="D3964" s="2" t="str">
        <f>"9780470158692"</f>
        <v>9780470158692</v>
      </c>
      <c r="E3964" s="2">
        <v>469120</v>
      </c>
    </row>
    <row r="3965" spans="1:5" x14ac:dyDescent="0.25">
      <c r="A3965" s="4">
        <v>43230.448229166665</v>
      </c>
      <c r="B3965" s="2" t="s">
        <v>31</v>
      </c>
      <c r="C3965" s="2" t="s">
        <v>5</v>
      </c>
      <c r="D3965" s="2" t="str">
        <f>"9781784507619"</f>
        <v>9781784507619</v>
      </c>
      <c r="E3965" s="2">
        <v>5045038</v>
      </c>
    </row>
    <row r="3966" spans="1:5" x14ac:dyDescent="0.25">
      <c r="A3966" s="4">
        <v>41840.432083333333</v>
      </c>
      <c r="B3966" s="2" t="s">
        <v>3976</v>
      </c>
      <c r="C3966" s="2" t="s">
        <v>26</v>
      </c>
      <c r="D3966" s="2" t="str">
        <f>"9780787971427"</f>
        <v>9780787971427</v>
      </c>
      <c r="E3966" s="2">
        <v>162824</v>
      </c>
    </row>
    <row r="3967" spans="1:5" x14ac:dyDescent="0.25">
      <c r="A3967" s="4">
        <v>41976.014606481483</v>
      </c>
      <c r="B3967" s="2" t="s">
        <v>2735</v>
      </c>
      <c r="C3967" s="2" t="s">
        <v>18</v>
      </c>
      <c r="D3967" s="2" t="str">
        <f>"9781441199102"</f>
        <v>9781441199102</v>
      </c>
      <c r="E3967" s="2">
        <v>1750330</v>
      </c>
    </row>
    <row r="3968" spans="1:5" x14ac:dyDescent="0.25">
      <c r="A3968" s="4">
        <v>41994.885000000002</v>
      </c>
      <c r="B3968" s="2" t="s">
        <v>2090</v>
      </c>
      <c r="C3968" s="2" t="s">
        <v>18</v>
      </c>
      <c r="D3968" s="2" t="str">
        <f>"9781441151575"</f>
        <v>9781441151575</v>
      </c>
      <c r="E3968" s="2">
        <v>742478</v>
      </c>
    </row>
    <row r="3969" spans="1:5" x14ac:dyDescent="0.25">
      <c r="A3969" s="4">
        <v>41994.899131944447</v>
      </c>
      <c r="B3969" s="2" t="s">
        <v>1118</v>
      </c>
      <c r="C3969" s="2" t="s">
        <v>63</v>
      </c>
      <c r="D3969" s="2" t="str">
        <f>"9781400848362"</f>
        <v>9781400848362</v>
      </c>
      <c r="E3969" s="2">
        <v>1535180</v>
      </c>
    </row>
    <row r="3970" spans="1:5" x14ac:dyDescent="0.25">
      <c r="A3970" s="4">
        <v>41994.901932870373</v>
      </c>
      <c r="B3970" s="2" t="s">
        <v>941</v>
      </c>
      <c r="C3970" s="2" t="s">
        <v>119</v>
      </c>
      <c r="D3970" s="2" t="str">
        <f>"9780520911208"</f>
        <v>9780520911208</v>
      </c>
      <c r="E3970" s="2">
        <v>470966</v>
      </c>
    </row>
    <row r="3971" spans="1:5" x14ac:dyDescent="0.25">
      <c r="A3971" s="4">
        <v>41977.810729166667</v>
      </c>
      <c r="B3971" s="2" t="s">
        <v>2590</v>
      </c>
      <c r="C3971" s="2" t="s">
        <v>28</v>
      </c>
      <c r="D3971" s="2" t="str">
        <f>"9780253115034"</f>
        <v>9780253115034</v>
      </c>
      <c r="E3971" s="2">
        <v>613569</v>
      </c>
    </row>
    <row r="3972" spans="1:5" x14ac:dyDescent="0.25">
      <c r="A3972" s="4">
        <v>41994.89607638889</v>
      </c>
      <c r="B3972" s="2" t="s">
        <v>1616</v>
      </c>
      <c r="C3972" s="2" t="s">
        <v>28</v>
      </c>
      <c r="D3972" s="2" t="str">
        <f>"9780253108760"</f>
        <v>9780253108760</v>
      </c>
      <c r="E3972" s="2">
        <v>130473</v>
      </c>
    </row>
    <row r="3973" spans="1:5" x14ac:dyDescent="0.25">
      <c r="A3973" s="4">
        <v>41994.889826388891</v>
      </c>
      <c r="B3973" s="2" t="s">
        <v>1932</v>
      </c>
      <c r="C3973" s="2" t="s">
        <v>72</v>
      </c>
      <c r="D3973" s="2" t="str">
        <f>"9780748626298"</f>
        <v>9780748626298</v>
      </c>
      <c r="E3973" s="2">
        <v>271882</v>
      </c>
    </row>
    <row r="3974" spans="1:5" x14ac:dyDescent="0.25">
      <c r="A3974" s="4">
        <v>41994.896168981482</v>
      </c>
      <c r="B3974" s="2" t="s">
        <v>1470</v>
      </c>
      <c r="C3974" s="2" t="s">
        <v>28</v>
      </c>
      <c r="D3974" s="2" t="str">
        <f>"9780253010339"</f>
        <v>9780253010339</v>
      </c>
      <c r="E3974" s="2">
        <v>1365237</v>
      </c>
    </row>
    <row r="3975" spans="1:5" x14ac:dyDescent="0.25">
      <c r="A3975" s="4">
        <v>41994.878750000003</v>
      </c>
      <c r="B3975" s="2" t="s">
        <v>2212</v>
      </c>
      <c r="C3975" s="2" t="s">
        <v>2170</v>
      </c>
      <c r="D3975" s="2" t="str">
        <f>"9781848131873"</f>
        <v>9781848131873</v>
      </c>
      <c r="E3975" s="2">
        <v>474790</v>
      </c>
    </row>
    <row r="3976" spans="1:5" x14ac:dyDescent="0.25">
      <c r="A3976" s="4">
        <v>41994.905578703707</v>
      </c>
      <c r="B3976" s="2" t="s">
        <v>607</v>
      </c>
      <c r="C3976" s="2" t="s">
        <v>424</v>
      </c>
      <c r="D3976" s="2" t="str">
        <f>"9780807864159"</f>
        <v>9780807864159</v>
      </c>
      <c r="E3976" s="2">
        <v>427153</v>
      </c>
    </row>
    <row r="3977" spans="1:5" x14ac:dyDescent="0.25">
      <c r="A3977" s="4">
        <v>41977.96056712963</v>
      </c>
      <c r="B3977" s="2" t="s">
        <v>2584</v>
      </c>
      <c r="C3977" s="2" t="s">
        <v>36</v>
      </c>
      <c r="D3977" s="2" t="str">
        <f>"9780786462186"</f>
        <v>9780786462186</v>
      </c>
      <c r="E3977" s="2">
        <v>679313</v>
      </c>
    </row>
    <row r="3978" spans="1:5" x14ac:dyDescent="0.25">
      <c r="A3978" s="4">
        <v>41931.59642361111</v>
      </c>
      <c r="B3978" s="2" t="s">
        <v>3140</v>
      </c>
      <c r="C3978" s="2" t="s">
        <v>63</v>
      </c>
      <c r="D3978" s="2" t="str">
        <f>"9781400825691"</f>
        <v>9781400825691</v>
      </c>
      <c r="E3978" s="2">
        <v>445436</v>
      </c>
    </row>
    <row r="3979" spans="1:5" x14ac:dyDescent="0.25">
      <c r="A3979" s="4">
        <v>41994.885023148148</v>
      </c>
      <c r="B3979" s="2" t="s">
        <v>2051</v>
      </c>
      <c r="C3979" s="2" t="s">
        <v>1934</v>
      </c>
      <c r="D3979" s="2" t="str">
        <f>"9781441104755"</f>
        <v>9781441104755</v>
      </c>
      <c r="E3979" s="2">
        <v>943645</v>
      </c>
    </row>
    <row r="3980" spans="1:5" x14ac:dyDescent="0.25">
      <c r="A3980" s="4">
        <v>41919.570520833331</v>
      </c>
      <c r="B3980" s="2" t="s">
        <v>2051</v>
      </c>
      <c r="C3980" s="2" t="s">
        <v>1934</v>
      </c>
      <c r="D3980" s="2" t="str">
        <f>""</f>
        <v/>
      </c>
      <c r="E3980" s="2">
        <v>1744064</v>
      </c>
    </row>
    <row r="3981" spans="1:5" x14ac:dyDescent="0.25">
      <c r="A3981" s="4">
        <v>41981.049710648149</v>
      </c>
      <c r="B3981" s="2" t="s">
        <v>2484</v>
      </c>
      <c r="C3981" s="2" t="s">
        <v>1934</v>
      </c>
      <c r="D3981" s="2" t="str">
        <f>"9781441153852"</f>
        <v>9781441153852</v>
      </c>
      <c r="E3981" s="2">
        <v>1220347</v>
      </c>
    </row>
    <row r="3982" spans="1:5" x14ac:dyDescent="0.25">
      <c r="A3982" s="4">
        <v>41988.733900462961</v>
      </c>
      <c r="B3982" s="2" t="s">
        <v>2272</v>
      </c>
      <c r="C3982" s="2" t="s">
        <v>36</v>
      </c>
      <c r="D3982" s="2" t="str">
        <f>"9781476615547"</f>
        <v>9781476615547</v>
      </c>
      <c r="E3982" s="2">
        <v>1664180</v>
      </c>
    </row>
    <row r="3983" spans="1:5" x14ac:dyDescent="0.25">
      <c r="A3983" s="4">
        <v>41994.878761574073</v>
      </c>
      <c r="B3983" s="2" t="s">
        <v>2177</v>
      </c>
      <c r="C3983" s="2" t="s">
        <v>2170</v>
      </c>
      <c r="D3983" s="2" t="str">
        <f>"9781783600540"</f>
        <v>9781783600540</v>
      </c>
      <c r="E3983" s="2">
        <v>1685710</v>
      </c>
    </row>
    <row r="3984" spans="1:5" x14ac:dyDescent="0.25">
      <c r="A3984" s="4">
        <v>41974.875300925924</v>
      </c>
      <c r="B3984" s="2" t="s">
        <v>2900</v>
      </c>
      <c r="C3984" s="2" t="s">
        <v>63</v>
      </c>
      <c r="D3984" s="2" t="str">
        <f>"9781400845057"</f>
        <v>9781400845057</v>
      </c>
      <c r="E3984" s="2">
        <v>982925</v>
      </c>
    </row>
    <row r="3985" spans="1:5" x14ac:dyDescent="0.25">
      <c r="A3985" s="4">
        <v>41989.463321759256</v>
      </c>
      <c r="B3985" s="2" t="s">
        <v>2258</v>
      </c>
      <c r="C3985" s="2" t="s">
        <v>18</v>
      </c>
      <c r="D3985" s="2" t="str">
        <f>"9781472539380"</f>
        <v>9781472539380</v>
      </c>
      <c r="E3985" s="2">
        <v>1539004</v>
      </c>
    </row>
    <row r="3986" spans="1:5" x14ac:dyDescent="0.25">
      <c r="A3986" s="4">
        <v>41919.405844907407</v>
      </c>
      <c r="B3986" s="2" t="s">
        <v>3404</v>
      </c>
      <c r="C3986" s="2" t="s">
        <v>2624</v>
      </c>
      <c r="D3986" s="2" t="str">
        <f>"9788132102649"</f>
        <v>9788132102649</v>
      </c>
      <c r="E3986" s="2">
        <v>453701</v>
      </c>
    </row>
    <row r="3987" spans="1:5" x14ac:dyDescent="0.25">
      <c r="A3987" s="4">
        <v>41994.901921296296</v>
      </c>
      <c r="B3987" s="2" t="s">
        <v>974</v>
      </c>
      <c r="C3987" s="2" t="s">
        <v>119</v>
      </c>
      <c r="D3987" s="2" t="str">
        <f>"9780520931381"</f>
        <v>9780520931381</v>
      </c>
      <c r="E3987" s="2">
        <v>231934</v>
      </c>
    </row>
    <row r="3988" spans="1:5" x14ac:dyDescent="0.25">
      <c r="A3988" s="4">
        <v>41929.845509259256</v>
      </c>
      <c r="B3988" s="2" t="s">
        <v>3160</v>
      </c>
      <c r="C3988" s="2" t="s">
        <v>119</v>
      </c>
      <c r="D3988" s="2" t="str">
        <f>"9780520957244"</f>
        <v>9780520957244</v>
      </c>
      <c r="E3988" s="2">
        <v>1710999</v>
      </c>
    </row>
    <row r="3989" spans="1:5" x14ac:dyDescent="0.25">
      <c r="A3989" s="4">
        <v>41994.899155092593</v>
      </c>
      <c r="B3989" s="2" t="s">
        <v>1061</v>
      </c>
      <c r="C3989" s="2" t="s">
        <v>63</v>
      </c>
      <c r="D3989" s="2" t="str">
        <f>"9781400855445"</f>
        <v>9781400855445</v>
      </c>
      <c r="E3989" s="2">
        <v>1701030</v>
      </c>
    </row>
    <row r="3990" spans="1:5" x14ac:dyDescent="0.25">
      <c r="A3990" s="4">
        <v>41981.021192129629</v>
      </c>
      <c r="B3990" s="2" t="s">
        <v>2489</v>
      </c>
      <c r="C3990" s="2" t="s">
        <v>72</v>
      </c>
      <c r="D3990" s="2" t="str">
        <f>"9780748629282"</f>
        <v>9780748629282</v>
      </c>
      <c r="E3990" s="2">
        <v>299556</v>
      </c>
    </row>
    <row r="3991" spans="1:5" x14ac:dyDescent="0.25">
      <c r="A3991" s="4">
        <v>41918.755370370367</v>
      </c>
      <c r="B3991" s="2" t="s">
        <v>3419</v>
      </c>
      <c r="C3991" s="2" t="s">
        <v>7</v>
      </c>
      <c r="D3991" s="2" t="str">
        <f>"9781452262413"</f>
        <v>9781452262413</v>
      </c>
      <c r="E3991" s="2">
        <v>1016382</v>
      </c>
    </row>
    <row r="3992" spans="1:5" x14ac:dyDescent="0.25">
      <c r="A3992" s="4">
        <v>41984.326840277776</v>
      </c>
      <c r="B3992" s="2" t="s">
        <v>2375</v>
      </c>
      <c r="C3992" s="2" t="s">
        <v>18</v>
      </c>
      <c r="D3992" s="2" t="str">
        <f>"9781441104526"</f>
        <v>9781441104526</v>
      </c>
      <c r="E3992" s="2">
        <v>436064</v>
      </c>
    </row>
    <row r="3993" spans="1:5" x14ac:dyDescent="0.25">
      <c r="A3993" s="4">
        <v>41994.892893518518</v>
      </c>
      <c r="B3993" s="2" t="s">
        <v>1781</v>
      </c>
      <c r="C3993" s="2" t="s">
        <v>16</v>
      </c>
      <c r="D3993" s="2" t="str">
        <f>"9781593859510"</f>
        <v>9781593859510</v>
      </c>
      <c r="E3993" s="2">
        <v>330596</v>
      </c>
    </row>
    <row r="3994" spans="1:5" x14ac:dyDescent="0.25">
      <c r="A3994" s="4">
        <v>41994.892939814818</v>
      </c>
      <c r="B3994" s="2" t="s">
        <v>1641</v>
      </c>
      <c r="C3994" s="2" t="s">
        <v>16</v>
      </c>
      <c r="D3994" s="2" t="str">
        <f>"9781462512829"</f>
        <v>9781462512829</v>
      </c>
      <c r="E3994" s="2">
        <v>1524034</v>
      </c>
    </row>
    <row r="3995" spans="1:5" x14ac:dyDescent="0.25">
      <c r="A3995" s="4">
        <v>41994.902013888888</v>
      </c>
      <c r="B3995" s="2" t="s">
        <v>658</v>
      </c>
      <c r="C3995" s="2" t="s">
        <v>119</v>
      </c>
      <c r="D3995" s="2" t="str">
        <f>"9780520958968"</f>
        <v>9780520958968</v>
      </c>
      <c r="E3995" s="2">
        <v>1691731</v>
      </c>
    </row>
    <row r="3996" spans="1:5" x14ac:dyDescent="0.25">
      <c r="A3996" s="4">
        <v>41981.04042824074</v>
      </c>
      <c r="B3996" s="2" t="s">
        <v>2486</v>
      </c>
      <c r="C3996" s="2" t="s">
        <v>2283</v>
      </c>
      <c r="D3996" s="2" t="str">
        <f>"9789027299659"</f>
        <v>9789027299659</v>
      </c>
      <c r="E3996" s="2">
        <v>623293</v>
      </c>
    </row>
    <row r="3997" spans="1:5" x14ac:dyDescent="0.25">
      <c r="A3997" s="4">
        <v>41906.669016203705</v>
      </c>
      <c r="B3997" s="2" t="s">
        <v>3706</v>
      </c>
      <c r="C3997" s="2" t="s">
        <v>16</v>
      </c>
      <c r="D3997" s="2" t="str">
        <f>"9781606232347"</f>
        <v>9781606232347</v>
      </c>
      <c r="E3997" s="2">
        <v>362595</v>
      </c>
    </row>
    <row r="3998" spans="1:5" x14ac:dyDescent="0.25">
      <c r="A3998" s="4">
        <v>41994.885011574072</v>
      </c>
      <c r="B3998" s="2" t="s">
        <v>2069</v>
      </c>
      <c r="C3998" s="2" t="s">
        <v>18</v>
      </c>
      <c r="D3998" s="2" t="str">
        <f>"9781441172617"</f>
        <v>9781441172617</v>
      </c>
      <c r="E3998" s="2">
        <v>831525</v>
      </c>
    </row>
    <row r="3999" spans="1:5" x14ac:dyDescent="0.25">
      <c r="A3999" s="4">
        <v>41974.972025462965</v>
      </c>
      <c r="B3999" s="2" t="s">
        <v>2886</v>
      </c>
      <c r="C3999" s="2" t="s">
        <v>63</v>
      </c>
      <c r="D3999" s="2" t="str">
        <f>"9781400822645"</f>
        <v>9781400822645</v>
      </c>
      <c r="E3999" s="2">
        <v>483507</v>
      </c>
    </row>
    <row r="4000" spans="1:5" x14ac:dyDescent="0.25">
      <c r="A4000" s="4">
        <v>41994.908171296294</v>
      </c>
      <c r="B4000" s="2" t="s">
        <v>374</v>
      </c>
      <c r="C4000" s="2" t="s">
        <v>26</v>
      </c>
      <c r="D4000" s="2" t="str">
        <f>"9780470287330"</f>
        <v>9780470287330</v>
      </c>
      <c r="E4000" s="2">
        <v>335796</v>
      </c>
    </row>
    <row r="4001" spans="1:5" x14ac:dyDescent="0.25">
      <c r="A4001" s="4">
        <v>41994.902025462965</v>
      </c>
      <c r="B4001" s="2" t="s">
        <v>637</v>
      </c>
      <c r="C4001" s="2" t="s">
        <v>119</v>
      </c>
      <c r="D4001" s="2" t="str">
        <f>"9780520959163"</f>
        <v>9780520959163</v>
      </c>
      <c r="E4001" s="2">
        <v>1711041</v>
      </c>
    </row>
    <row r="4002" spans="1:5" x14ac:dyDescent="0.25">
      <c r="A4002" s="4">
        <v>41994.892916666664</v>
      </c>
      <c r="B4002" s="2" t="s">
        <v>1731</v>
      </c>
      <c r="C4002" s="2" t="s">
        <v>16</v>
      </c>
      <c r="D4002" s="2" t="str">
        <f>"9781609180362"</f>
        <v>9781609180362</v>
      </c>
      <c r="E4002" s="2">
        <v>605349</v>
      </c>
    </row>
    <row r="4003" spans="1:5" x14ac:dyDescent="0.25">
      <c r="A4003" s="4">
        <v>41994.905601851853</v>
      </c>
      <c r="B4003" s="2" t="s">
        <v>524</v>
      </c>
      <c r="C4003" s="2" t="s">
        <v>96</v>
      </c>
      <c r="D4003" s="2" t="str">
        <f>"9780807860113"</f>
        <v>9780807860113</v>
      </c>
      <c r="E4003" s="2">
        <v>880027</v>
      </c>
    </row>
    <row r="4004" spans="1:5" x14ac:dyDescent="0.25">
      <c r="A4004" s="4">
        <v>41925.462268518517</v>
      </c>
      <c r="B4004" s="2" t="s">
        <v>3278</v>
      </c>
      <c r="C4004" s="2" t="s">
        <v>96</v>
      </c>
      <c r="D4004" s="2" t="str">
        <f>"9781469616506"</f>
        <v>9781469616506</v>
      </c>
      <c r="E4004" s="2">
        <v>1663528</v>
      </c>
    </row>
    <row r="4005" spans="1:5" x14ac:dyDescent="0.25">
      <c r="A4005" s="4">
        <v>41905.360995370371</v>
      </c>
      <c r="B4005" s="2" t="s">
        <v>3752</v>
      </c>
      <c r="C4005" s="2" t="s">
        <v>63</v>
      </c>
      <c r="D4005" s="2" t="str">
        <f>"9781400837601"</f>
        <v>9781400837601</v>
      </c>
      <c r="E4005" s="2">
        <v>664557</v>
      </c>
    </row>
    <row r="4006" spans="1:5" x14ac:dyDescent="0.25">
      <c r="A4006" s="4">
        <v>41918.560567129629</v>
      </c>
      <c r="B4006" s="2" t="s">
        <v>3430</v>
      </c>
      <c r="C4006" s="2" t="s">
        <v>26</v>
      </c>
      <c r="D4006" s="2" t="str">
        <f>"9781444360059"</f>
        <v>9781444360059</v>
      </c>
      <c r="E4006" s="2">
        <v>819445</v>
      </c>
    </row>
    <row r="4007" spans="1:5" x14ac:dyDescent="0.25">
      <c r="A4007" s="4">
        <v>41994.90824074074</v>
      </c>
      <c r="B4007" s="2" t="s">
        <v>177</v>
      </c>
      <c r="C4007" s="2" t="s">
        <v>26</v>
      </c>
      <c r="D4007" s="2" t="str">
        <f>"9781444346770"</f>
        <v>9781444346770</v>
      </c>
      <c r="E4007" s="2">
        <v>819328</v>
      </c>
    </row>
    <row r="4008" spans="1:5" x14ac:dyDescent="0.25">
      <c r="A4008" s="4">
        <v>41994.89912037037</v>
      </c>
      <c r="B4008" s="2" t="s">
        <v>1190</v>
      </c>
      <c r="C4008" s="2" t="s">
        <v>63</v>
      </c>
      <c r="D4008" s="2" t="str">
        <f>"9781400846849"</f>
        <v>9781400846849</v>
      </c>
      <c r="E4008" s="2">
        <v>1108130</v>
      </c>
    </row>
    <row r="4009" spans="1:5" x14ac:dyDescent="0.25">
      <c r="A4009" s="4">
        <v>41994.905636574076</v>
      </c>
      <c r="B4009" s="2" t="s">
        <v>445</v>
      </c>
      <c r="C4009" s="2" t="s">
        <v>96</v>
      </c>
      <c r="D4009" s="2" t="str">
        <f>"9781469612768"</f>
        <v>9781469612768</v>
      </c>
      <c r="E4009" s="2">
        <v>1663534</v>
      </c>
    </row>
    <row r="4010" spans="1:5" x14ac:dyDescent="0.25">
      <c r="A4010" s="4">
        <v>41994.899131944447</v>
      </c>
      <c r="B4010" s="2" t="s">
        <v>1147</v>
      </c>
      <c r="C4010" s="2" t="s">
        <v>63</v>
      </c>
      <c r="D4010" s="2" t="str">
        <f>"9781400848386"</f>
        <v>9781400848386</v>
      </c>
      <c r="E4010" s="2">
        <v>1275331</v>
      </c>
    </row>
    <row r="4011" spans="1:5" x14ac:dyDescent="0.25">
      <c r="A4011" s="4">
        <v>41908.485902777778</v>
      </c>
      <c r="B4011" s="2" t="s">
        <v>3652</v>
      </c>
      <c r="C4011" s="2" t="s">
        <v>26</v>
      </c>
      <c r="D4011" s="2" t="str">
        <f>"9780471680109"</f>
        <v>9780471680109</v>
      </c>
      <c r="E4011" s="2">
        <v>210494</v>
      </c>
    </row>
    <row r="4012" spans="1:5" x14ac:dyDescent="0.25">
      <c r="A4012" s="4">
        <v>41902.071689814817</v>
      </c>
      <c r="B4012" s="2" t="s">
        <v>3813</v>
      </c>
      <c r="C4012" s="2" t="s">
        <v>1934</v>
      </c>
      <c r="D4012" s="2" t="str">
        <f>"9781408157411"</f>
        <v>9781408157411</v>
      </c>
      <c r="E4012" s="2">
        <v>881435</v>
      </c>
    </row>
    <row r="4013" spans="1:5" x14ac:dyDescent="0.25">
      <c r="A4013" s="4">
        <v>41910.736180555556</v>
      </c>
      <c r="B4013" s="2" t="s">
        <v>3614</v>
      </c>
      <c r="C4013" s="2" t="s">
        <v>26</v>
      </c>
      <c r="D4013" s="2" t="str">
        <f>"9781119996019"</f>
        <v>9781119996019</v>
      </c>
      <c r="E4013" s="2">
        <v>712125</v>
      </c>
    </row>
    <row r="4014" spans="1:5" x14ac:dyDescent="0.25">
      <c r="A4014" s="4">
        <v>41977.410844907405</v>
      </c>
      <c r="B4014" s="2" t="s">
        <v>2616</v>
      </c>
      <c r="C4014" s="2" t="s">
        <v>2404</v>
      </c>
      <c r="D4014" s="2" t="str">
        <f>"9780335263035"</f>
        <v>9780335263035</v>
      </c>
      <c r="E4014" s="2">
        <v>1441526</v>
      </c>
    </row>
    <row r="4015" spans="1:5" x14ac:dyDescent="0.25">
      <c r="A4015" s="4">
        <v>41994.884965277779</v>
      </c>
      <c r="B4015" s="2" t="s">
        <v>2167</v>
      </c>
      <c r="C4015" s="2" t="s">
        <v>18</v>
      </c>
      <c r="D4015" s="2" t="str">
        <f>"9781408103067"</f>
        <v>9781408103067</v>
      </c>
      <c r="E4015" s="2">
        <v>320227</v>
      </c>
    </row>
    <row r="4016" spans="1:5" x14ac:dyDescent="0.25">
      <c r="A4016" s="4">
        <v>41994.896157407406</v>
      </c>
      <c r="B4016" s="2" t="s">
        <v>1481</v>
      </c>
      <c r="C4016" s="2" t="s">
        <v>28</v>
      </c>
      <c r="D4016" s="2" t="str">
        <f>"9780253008749"</f>
        <v>9780253008749</v>
      </c>
      <c r="E4016" s="2">
        <v>1187140</v>
      </c>
    </row>
    <row r="4017" spans="1:5" x14ac:dyDescent="0.25">
      <c r="A4017" s="4">
        <v>41994.901956018519</v>
      </c>
      <c r="B4017" s="2" t="s">
        <v>844</v>
      </c>
      <c r="C4017" s="2" t="s">
        <v>119</v>
      </c>
      <c r="D4017" s="2" t="str">
        <f>"9780520950207"</f>
        <v>9780520950207</v>
      </c>
      <c r="E4017" s="2">
        <v>744001</v>
      </c>
    </row>
    <row r="4018" spans="1:5" x14ac:dyDescent="0.25">
      <c r="A4018" s="4">
        <v>41927.383437500001</v>
      </c>
      <c r="B4018" s="2" t="s">
        <v>3225</v>
      </c>
      <c r="C4018" s="2" t="s">
        <v>16</v>
      </c>
      <c r="D4018" s="2" t="str">
        <f>"9781606236697"</f>
        <v>9781606236697</v>
      </c>
      <c r="E4018" s="2">
        <v>515885</v>
      </c>
    </row>
    <row r="4019" spans="1:5" x14ac:dyDescent="0.25">
      <c r="A4019" s="4">
        <v>42878.527060185188</v>
      </c>
      <c r="B4019" s="2" t="s">
        <v>152</v>
      </c>
      <c r="C4019" s="2" t="s">
        <v>7</v>
      </c>
      <c r="D4019" s="2" t="str">
        <f>"9781473908543"</f>
        <v>9781473908543</v>
      </c>
      <c r="E4019" s="2">
        <v>4531640</v>
      </c>
    </row>
    <row r="4020" spans="1:5" x14ac:dyDescent="0.25">
      <c r="A4020" s="4">
        <v>41994.901967592596</v>
      </c>
      <c r="B4020" s="2" t="s">
        <v>823</v>
      </c>
      <c r="C4020" s="2" t="s">
        <v>119</v>
      </c>
      <c r="D4020" s="2" t="str">
        <f>"9780520946156"</f>
        <v>9780520946156</v>
      </c>
      <c r="E4020" s="2">
        <v>837200</v>
      </c>
    </row>
    <row r="4021" spans="1:5" x14ac:dyDescent="0.25">
      <c r="A4021" s="4">
        <v>41994.896168981482</v>
      </c>
      <c r="B4021" s="2" t="s">
        <v>1455</v>
      </c>
      <c r="C4021" s="2" t="s">
        <v>28</v>
      </c>
      <c r="D4021" s="2" t="str">
        <f>"9780253011480"</f>
        <v>9780253011480</v>
      </c>
      <c r="E4021" s="2">
        <v>1579459</v>
      </c>
    </row>
    <row r="4022" spans="1:5" x14ac:dyDescent="0.25">
      <c r="A4022" s="4">
        <v>41984.471192129633</v>
      </c>
      <c r="B4022" s="2" t="s">
        <v>2373</v>
      </c>
      <c r="C4022" s="2" t="s">
        <v>18</v>
      </c>
      <c r="D4022" s="2" t="str">
        <f>"9780567537836"</f>
        <v>9780567537836</v>
      </c>
      <c r="E4022" s="2">
        <v>766057</v>
      </c>
    </row>
    <row r="4023" spans="1:5" x14ac:dyDescent="0.25">
      <c r="A4023" s="4">
        <v>41994.901990740742</v>
      </c>
      <c r="B4023" s="2" t="s">
        <v>752</v>
      </c>
      <c r="C4023" s="2" t="s">
        <v>119</v>
      </c>
      <c r="D4023" s="2" t="str">
        <f>"9780520953819"</f>
        <v>9780520953819</v>
      </c>
      <c r="E4023" s="2">
        <v>977264</v>
      </c>
    </row>
    <row r="4024" spans="1:5" x14ac:dyDescent="0.25">
      <c r="A4024" s="4">
        <v>41994.899108796293</v>
      </c>
      <c r="B4024" s="2" t="s">
        <v>1202</v>
      </c>
      <c r="C4024" s="2" t="s">
        <v>63</v>
      </c>
      <c r="D4024" s="2" t="str">
        <f>"9781400845415"</f>
        <v>9781400845415</v>
      </c>
      <c r="E4024" s="2">
        <v>1047204</v>
      </c>
    </row>
    <row r="4025" spans="1:5" x14ac:dyDescent="0.25">
      <c r="A4025" s="4">
        <v>41994.90824074074</v>
      </c>
      <c r="B4025" s="2" t="s">
        <v>187</v>
      </c>
      <c r="C4025" s="2" t="s">
        <v>26</v>
      </c>
      <c r="D4025" s="2" t="str">
        <f>"9781118121429"</f>
        <v>9781118121429</v>
      </c>
      <c r="E4025" s="2">
        <v>818763</v>
      </c>
    </row>
    <row r="4026" spans="1:5" x14ac:dyDescent="0.25">
      <c r="A4026" s="4">
        <v>43202.617280092592</v>
      </c>
      <c r="B4026" s="2" t="s">
        <v>57</v>
      </c>
      <c r="C4026" s="2" t="s">
        <v>5</v>
      </c>
      <c r="D4026" s="2" t="str">
        <f>"9780857013132"</f>
        <v>9780857013132</v>
      </c>
      <c r="E4026" s="2">
        <v>5150826</v>
      </c>
    </row>
    <row r="4027" spans="1:5" x14ac:dyDescent="0.25">
      <c r="A4027" s="4">
        <v>41976.58021990741</v>
      </c>
      <c r="B4027" s="2" t="s">
        <v>2674</v>
      </c>
      <c r="C4027" s="2" t="s">
        <v>26</v>
      </c>
      <c r="D4027" s="2" t="str">
        <f>"9780787965228"</f>
        <v>9780787965228</v>
      </c>
      <c r="E4027" s="2">
        <v>139868</v>
      </c>
    </row>
    <row r="4028" spans="1:5" x14ac:dyDescent="0.25">
      <c r="A4028" s="4">
        <v>41994.889872685184</v>
      </c>
      <c r="B4028" s="2" t="s">
        <v>1879</v>
      </c>
      <c r="C4028" s="2" t="s">
        <v>72</v>
      </c>
      <c r="D4028" s="2" t="str">
        <f>"9780748643738"</f>
        <v>9780748643738</v>
      </c>
      <c r="E4028" s="2">
        <v>624265</v>
      </c>
    </row>
    <row r="4029" spans="1:5" x14ac:dyDescent="0.25">
      <c r="A4029" s="4">
        <v>41974.715138888889</v>
      </c>
      <c r="B4029" s="2" t="s">
        <v>2926</v>
      </c>
      <c r="C4029" s="2" t="s">
        <v>26</v>
      </c>
      <c r="D4029" s="2" t="str">
        <f>"9781444345308"</f>
        <v>9781444345308</v>
      </c>
      <c r="E4029" s="2">
        <v>698142</v>
      </c>
    </row>
    <row r="4030" spans="1:5" x14ac:dyDescent="0.25">
      <c r="A4030" s="4">
        <v>41994.892939814818</v>
      </c>
      <c r="B4030" s="2" t="s">
        <v>1654</v>
      </c>
      <c r="C4030" s="2" t="s">
        <v>16</v>
      </c>
      <c r="D4030" s="2" t="str">
        <f>"9781462510740"</f>
        <v>9781462510740</v>
      </c>
      <c r="E4030" s="2">
        <v>1209525</v>
      </c>
    </row>
    <row r="4031" spans="1:5" x14ac:dyDescent="0.25">
      <c r="A4031" s="4">
        <v>41994.892939814818</v>
      </c>
      <c r="B4031" s="2" t="s">
        <v>1640</v>
      </c>
      <c r="C4031" s="2" t="s">
        <v>16</v>
      </c>
      <c r="D4031" s="2" t="str">
        <f>"9781462513000"</f>
        <v>9781462513000</v>
      </c>
      <c r="E4031" s="2">
        <v>1550529</v>
      </c>
    </row>
    <row r="4032" spans="1:5" x14ac:dyDescent="0.25">
      <c r="A4032" s="4">
        <v>41994.878761574073</v>
      </c>
      <c r="B4032" s="2" t="s">
        <v>2186</v>
      </c>
      <c r="C4032" s="2" t="s">
        <v>2170</v>
      </c>
      <c r="D4032" s="2" t="str">
        <f>"9781780324630"</f>
        <v>9781780324630</v>
      </c>
      <c r="E4032" s="2">
        <v>1272812</v>
      </c>
    </row>
    <row r="4033" spans="1:5" x14ac:dyDescent="0.25">
      <c r="A4033" s="4">
        <v>41994.896099537036</v>
      </c>
      <c r="B4033" s="2" t="s">
        <v>1595</v>
      </c>
      <c r="C4033" s="2" t="s">
        <v>28</v>
      </c>
      <c r="D4033" s="2" t="str">
        <f>"9780253000255"</f>
        <v>9780253000255</v>
      </c>
      <c r="E4033" s="2">
        <v>355609</v>
      </c>
    </row>
    <row r="4034" spans="1:5" x14ac:dyDescent="0.25">
      <c r="A4034" s="4">
        <v>41994.878750000003</v>
      </c>
      <c r="B4034" s="2" t="s">
        <v>2209</v>
      </c>
      <c r="C4034" s="2" t="s">
        <v>2170</v>
      </c>
      <c r="D4034" s="2" t="str">
        <f>"9781848132092"</f>
        <v>9781848132092</v>
      </c>
      <c r="E4034" s="2">
        <v>488158</v>
      </c>
    </row>
    <row r="4035" spans="1:5" x14ac:dyDescent="0.25">
      <c r="A4035" s="4">
        <v>41994.905636574076</v>
      </c>
      <c r="B4035" s="2" t="s">
        <v>432</v>
      </c>
      <c r="C4035" s="2" t="s">
        <v>96</v>
      </c>
      <c r="D4035" s="2" t="str">
        <f>"9781469613987"</f>
        <v>9781469613987</v>
      </c>
      <c r="E4035" s="2">
        <v>1696226</v>
      </c>
    </row>
    <row r="4036" spans="1:5" x14ac:dyDescent="0.25">
      <c r="A4036" s="4">
        <v>41994.899155092593</v>
      </c>
      <c r="B4036" s="2" t="s">
        <v>1067</v>
      </c>
      <c r="C4036" s="2" t="s">
        <v>63</v>
      </c>
      <c r="D4036" s="2" t="str">
        <f>"9781400852017"</f>
        <v>9781400852017</v>
      </c>
      <c r="E4036" s="2">
        <v>1694932</v>
      </c>
    </row>
  </sheetData>
  <autoFilter ref="A1:E4036" xr:uid="{00000000-0009-0000-0000-000000000000}"/>
  <sortState xmlns:xlrd2="http://schemas.microsoft.com/office/spreadsheetml/2017/richdata2" ref="A2:E4036">
    <sortCondition ref="B1"/>
  </sortState>
  <pageMargins left="0.25" right="0.25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CARLI Owned ProQuest Ebooks </vt:lpstr>
      <vt:lpstr>'CARLI Owned ProQuest Ebooks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Clarage, Elizabeth</dc:creator>
  <cp:lastModifiedBy>Clarage, Elizabeth</cp:lastModifiedBy>
  <cp:lastPrinted>2020-01-08T16:43:49Z</cp:lastPrinted>
  <dcterms:created xsi:type="dcterms:W3CDTF">2020-01-08T16:46:31Z</dcterms:created>
  <dcterms:modified xsi:type="dcterms:W3CDTF">2021-11-09T17:57:39Z</dcterms:modified>
</cp:coreProperties>
</file>